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charts/chart7.xml" ContentType="application/vnd.openxmlformats-officedocument.drawingml.chart+xml"/>
  <Override PartName="/xl/drawings/drawing6.xml" ContentType="application/vnd.openxmlformats-officedocument.drawingml.chartshapes+xml"/>
  <Override PartName="/xl/charts/chart8.xml" ContentType="application/vnd.openxmlformats-officedocument.drawingml.chart+xml"/>
  <Override PartName="/xl/drawings/drawing7.xml" ContentType="application/vnd.openxmlformats-officedocument.drawingml.chartshapes+xml"/>
  <Override PartName="/xl/charts/chart9.xml" ContentType="application/vnd.openxmlformats-officedocument.drawingml.chart+xml"/>
  <Override PartName="/xl/drawings/drawing8.xml" ContentType="application/vnd.openxmlformats-officedocument.drawingml.chartshapes+xml"/>
  <Override PartName="/xl/charts/chart10.xml" ContentType="application/vnd.openxmlformats-officedocument.drawingml.chart+xml"/>
  <Override PartName="/xl/drawings/drawing9.xml" ContentType="application/vnd.openxmlformats-officedocument.drawingml.chartshapes+xml"/>
  <Override PartName="/xl/charts/chart11.xml" ContentType="application/vnd.openxmlformats-officedocument.drawingml.chart+xml"/>
  <Override PartName="/xl/drawings/drawing10.xml" ContentType="application/vnd.openxmlformats-officedocument.drawingml.chartshapes+xml"/>
  <Override PartName="/xl/charts/chart12.xml" ContentType="application/vnd.openxmlformats-officedocument.drawingml.chart+xml"/>
  <Override PartName="/xl/drawings/drawing11.xml" ContentType="application/vnd.openxmlformats-officedocument.drawingml.chartshapes+xml"/>
  <Override PartName="/xl/charts/chart13.xml" ContentType="application/vnd.openxmlformats-officedocument.drawingml.chart+xml"/>
  <Override PartName="/xl/drawings/drawing12.xml" ContentType="application/vnd.openxmlformats-officedocument.drawingml.chartshapes+xml"/>
  <Override PartName="/xl/charts/chart14.xml" ContentType="application/vnd.openxmlformats-officedocument.drawingml.chart+xml"/>
  <Override PartName="/xl/drawings/drawing13.xml" ContentType="application/vnd.openxmlformats-officedocument.drawingml.chartshapes+xml"/>
  <Override PartName="/xl/charts/chart15.xml" ContentType="application/vnd.openxmlformats-officedocument.drawingml.chart+xml"/>
  <Override PartName="/xl/drawings/drawing14.xml" ContentType="application/vnd.openxmlformats-officedocument.drawingml.chartshapes+xml"/>
  <Override PartName="/xl/charts/chart16.xml" ContentType="application/vnd.openxmlformats-officedocument.drawingml.chart+xml"/>
  <Override PartName="/xl/drawings/drawing15.xml" ContentType="application/vnd.openxmlformats-officedocument.drawingml.chartshapes+xml"/>
  <Override PartName="/xl/drawings/drawing16.xml" ContentType="application/vnd.openxmlformats-officedocument.drawing+xml"/>
  <Override PartName="/xl/drawings/drawing17.xml" ContentType="application/vnd.openxmlformats-officedocument.drawing+xml"/>
  <Override PartName="/xl/comments4.xml" ContentType="application/vnd.openxmlformats-officedocument.spreadsheetml.comments+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drawings/drawing18.xml" ContentType="application/vnd.openxmlformats-officedocument.drawing+xml"/>
  <Override PartName="/xl/comments5.xml" ContentType="application/vnd.openxmlformats-officedocument.spreadsheetml.comments+xml"/>
  <Override PartName="/xl/drawings/drawing19.xml" ContentType="application/vnd.openxmlformats-officedocument.drawing+xml"/>
  <Override PartName="/xl/comments6.xml" ContentType="application/vnd.openxmlformats-officedocument.spreadsheetml.comments+xml"/>
  <Override PartName="/xl/charts/chart23.xml" ContentType="application/vnd.openxmlformats-officedocument.drawingml.chart+xml"/>
  <Override PartName="/xl/drawings/drawing20.xml" ContentType="application/vnd.openxmlformats-officedocument.drawingml.chartshapes+xml"/>
  <Override PartName="/xl/charts/chart24.xml" ContentType="application/vnd.openxmlformats-officedocument.drawingml.chart+xml"/>
  <Override PartName="/xl/drawings/drawing21.xml" ContentType="application/vnd.openxmlformats-officedocument.drawingml.chartshapes+xml"/>
  <Override PartName="/xl/charts/chart25.xml" ContentType="application/vnd.openxmlformats-officedocument.drawingml.chart+xml"/>
  <Override PartName="/xl/drawings/drawing22.xml" ContentType="application/vnd.openxmlformats-officedocument.drawingml.chartshapes+xml"/>
  <Override PartName="/xl/charts/chart26.xml" ContentType="application/vnd.openxmlformats-officedocument.drawingml.chart+xml"/>
  <Override PartName="/xl/drawings/drawing23.xml" ContentType="application/vnd.openxmlformats-officedocument.drawingml.chartshapes+xml"/>
  <Override PartName="/xl/charts/chart27.xml" ContentType="application/vnd.openxmlformats-officedocument.drawingml.chart+xml"/>
  <Override PartName="/xl/drawings/drawing24.xml" ContentType="application/vnd.openxmlformats-officedocument.drawingml.chartshapes+xml"/>
  <Override PartName="/xl/charts/chart28.xml" ContentType="application/vnd.openxmlformats-officedocument.drawingml.chart+xml"/>
  <Override PartName="/xl/drawings/drawing25.xml" ContentType="application/vnd.openxmlformats-officedocument.drawingml.chartshapes+xml"/>
  <Override PartName="/xl/charts/chart29.xml" ContentType="application/vnd.openxmlformats-officedocument.drawingml.chart+xml"/>
  <Override PartName="/xl/drawings/drawing26.xml" ContentType="application/vnd.openxmlformats-officedocument.drawingml.chartshapes+xml"/>
  <Override PartName="/xl/charts/chart30.xml" ContentType="application/vnd.openxmlformats-officedocument.drawingml.chart+xml"/>
  <Override PartName="/xl/drawings/drawing27.xml" ContentType="application/vnd.openxmlformats-officedocument.drawingml.chartshapes+xml"/>
  <Override PartName="/xl/charts/chart31.xml" ContentType="application/vnd.openxmlformats-officedocument.drawingml.chart+xml"/>
  <Override PartName="/xl/drawings/drawing28.xml" ContentType="application/vnd.openxmlformats-officedocument.drawingml.chartshapes+xml"/>
  <Override PartName="/xl/charts/chart32.xml" ContentType="application/vnd.openxmlformats-officedocument.drawingml.chart+xml"/>
  <Override PartName="/xl/drawings/drawing29.xml" ContentType="application/vnd.openxmlformats-officedocument.drawingml.chartshapes+xml"/>
  <Override PartName="/xl/drawings/drawing30.xml" ContentType="application/vnd.openxmlformats-officedocument.drawing+xml"/>
  <Override PartName="/xl/drawings/drawing31.xml" ContentType="application/vnd.openxmlformats-officedocument.drawing+xml"/>
  <Override PartName="/xl/comments7.xml" ContentType="application/vnd.openxmlformats-officedocument.spreadsheetml.comments+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charts/chart37.xml" ContentType="application/vnd.openxmlformats-officedocument.drawingml.chart+xml"/>
  <Override PartName="/xl/charts/chart38.xml" ContentType="application/vnd.openxmlformats-officedocument.drawingml.chart+xml"/>
  <Override PartName="/xl/drawings/drawing32.xml" ContentType="application/vnd.openxmlformats-officedocument.drawing+xml"/>
  <Override PartName="/xl/comments8.xml" ContentType="application/vnd.openxmlformats-officedocument.spreadsheetml.comments+xml"/>
  <Override PartName="/xl/drawings/drawing33.xml" ContentType="application/vnd.openxmlformats-officedocument.drawing+xml"/>
  <Override PartName="/xl/comments9.xml" ContentType="application/vnd.openxmlformats-officedocument.spreadsheetml.comments+xml"/>
  <Override PartName="/xl/charts/chart39.xml" ContentType="application/vnd.openxmlformats-officedocument.drawingml.chart+xml"/>
  <Override PartName="/xl/drawings/drawing34.xml" ContentType="application/vnd.openxmlformats-officedocument.drawingml.chartshapes+xml"/>
  <Override PartName="/xl/charts/chart40.xml" ContentType="application/vnd.openxmlformats-officedocument.drawingml.chart+xml"/>
  <Override PartName="/xl/drawings/drawing35.xml" ContentType="application/vnd.openxmlformats-officedocument.drawingml.chartshapes+xml"/>
  <Override PartName="/xl/charts/chart41.xml" ContentType="application/vnd.openxmlformats-officedocument.drawingml.chart+xml"/>
  <Override PartName="/xl/drawings/drawing36.xml" ContentType="application/vnd.openxmlformats-officedocument.drawingml.chartshapes+xml"/>
  <Override PartName="/xl/charts/chart42.xml" ContentType="application/vnd.openxmlformats-officedocument.drawingml.chart+xml"/>
  <Override PartName="/xl/drawings/drawing37.xml" ContentType="application/vnd.openxmlformats-officedocument.drawingml.chartshapes+xml"/>
  <Override PartName="/xl/charts/chart43.xml" ContentType="application/vnd.openxmlformats-officedocument.drawingml.chart+xml"/>
  <Override PartName="/xl/drawings/drawing38.xml" ContentType="application/vnd.openxmlformats-officedocument.drawingml.chartshapes+xml"/>
  <Override PartName="/xl/charts/chart44.xml" ContentType="application/vnd.openxmlformats-officedocument.drawingml.chart+xml"/>
  <Override PartName="/xl/drawings/drawing39.xml" ContentType="application/vnd.openxmlformats-officedocument.drawingml.chartshapes+xml"/>
  <Override PartName="/xl/charts/chart45.xml" ContentType="application/vnd.openxmlformats-officedocument.drawingml.chart+xml"/>
  <Override PartName="/xl/drawings/drawing40.xml" ContentType="application/vnd.openxmlformats-officedocument.drawingml.chartshapes+xml"/>
  <Override PartName="/xl/charts/chart46.xml" ContentType="application/vnd.openxmlformats-officedocument.drawingml.chart+xml"/>
  <Override PartName="/xl/drawings/drawing41.xml" ContentType="application/vnd.openxmlformats-officedocument.drawingml.chartshapes+xml"/>
  <Override PartName="/xl/charts/chart47.xml" ContentType="application/vnd.openxmlformats-officedocument.drawingml.chart+xml"/>
  <Override PartName="/xl/drawings/drawing42.xml" ContentType="application/vnd.openxmlformats-officedocument.drawingml.chartshapes+xml"/>
  <Override PartName="/xl/charts/chart48.xml" ContentType="application/vnd.openxmlformats-officedocument.drawingml.chart+xml"/>
  <Override PartName="/xl/drawings/drawing43.xml" ContentType="application/vnd.openxmlformats-officedocument.drawingml.chartshapes+xml"/>
  <Override PartName="/xl/charts/chart49.xml" ContentType="application/vnd.openxmlformats-officedocument.drawingml.chart+xml"/>
  <Override PartName="/xl/drawings/drawing44.xml" ContentType="application/vnd.openxmlformats-officedocument.drawingml.chartshapes+xml"/>
  <Override PartName="/xl/charts/chart50.xml" ContentType="application/vnd.openxmlformats-officedocument.drawingml.chart+xml"/>
  <Override PartName="/xl/drawings/drawing45.xml" ContentType="application/vnd.openxmlformats-officedocument.drawingml.chartshapes+xml"/>
  <Override PartName="/xl/charts/chart51.xml" ContentType="application/vnd.openxmlformats-officedocument.drawingml.chart+xml"/>
  <Override PartName="/xl/drawings/drawing46.xml" ContentType="application/vnd.openxmlformats-officedocument.drawingml.chartshapes+xml"/>
  <Override PartName="/xl/charts/chart52.xml" ContentType="application/vnd.openxmlformats-officedocument.drawingml.chart+xml"/>
  <Override PartName="/xl/drawings/drawing47.xml" ContentType="application/vnd.openxmlformats-officedocument.drawingml.chartshapes+xml"/>
  <Override PartName="/xl/charts/chart53.xml" ContentType="application/vnd.openxmlformats-officedocument.drawingml.chart+xml"/>
  <Override PartName="/xl/drawings/drawing48.xml" ContentType="application/vnd.openxmlformats-officedocument.drawingml.chartshapes+xml"/>
  <Override PartName="/xl/charts/chart54.xml" ContentType="application/vnd.openxmlformats-officedocument.drawingml.chart+xml"/>
  <Override PartName="/xl/drawings/drawing49.xml" ContentType="application/vnd.openxmlformats-officedocument.drawingml.chartshapes+xml"/>
  <Override PartName="/xl/drawings/drawing50.xml" ContentType="application/vnd.openxmlformats-officedocument.drawing+xml"/>
  <Override PartName="/xl/drawings/drawing51.xml" ContentType="application/vnd.openxmlformats-officedocument.drawing+xml"/>
  <Override PartName="/xl/comments10.xml" ContentType="application/vnd.openxmlformats-officedocument.spreadsheetml.comments+xml"/>
  <Override PartName="/xl/charts/chart55.xml" ContentType="application/vnd.openxmlformats-officedocument.drawingml.chart+xml"/>
  <Override PartName="/xl/charts/chart56.xml" ContentType="application/vnd.openxmlformats-officedocument.drawingml.chart+xml"/>
  <Override PartName="/xl/charts/chart57.xml" ContentType="application/vnd.openxmlformats-officedocument.drawingml.chart+xml"/>
  <Override PartName="/xl/charts/chart58.xml" ContentType="application/vnd.openxmlformats-officedocument.drawingml.chart+xml"/>
  <Override PartName="/xl/charts/chart59.xml" ContentType="application/vnd.openxmlformats-officedocument.drawingml.chart+xml"/>
  <Override PartName="/xl/charts/chart60.xml" ContentType="application/vnd.openxmlformats-officedocument.drawingml.chart+xml"/>
  <Override PartName="/xl/charts/chart61.xml" ContentType="application/vnd.openxmlformats-officedocument.drawingml.chart+xml"/>
  <Override PartName="/xl/drawings/drawing52.xml" ContentType="application/vnd.openxmlformats-officedocument.drawing+xml"/>
  <Override PartName="/xl/comments11.xml" ContentType="application/vnd.openxmlformats-officedocument.spreadsheetml.comments+xml"/>
  <Override PartName="/xl/drawings/drawing53.xml" ContentType="application/vnd.openxmlformats-officedocument.drawing+xml"/>
  <Override PartName="/xl/comments12.xml" ContentType="application/vnd.openxmlformats-officedocument.spreadsheetml.comments+xml"/>
  <Override PartName="/xl/charts/chart62.xml" ContentType="application/vnd.openxmlformats-officedocument.drawingml.chart+xml"/>
  <Override PartName="/xl/drawings/drawing54.xml" ContentType="application/vnd.openxmlformats-officedocument.drawingml.chartshapes+xml"/>
  <Override PartName="/xl/charts/chart63.xml" ContentType="application/vnd.openxmlformats-officedocument.drawingml.chart+xml"/>
  <Override PartName="/xl/drawings/drawing55.xml" ContentType="application/vnd.openxmlformats-officedocument.drawingml.chartshapes+xml"/>
  <Override PartName="/xl/charts/chart64.xml" ContentType="application/vnd.openxmlformats-officedocument.drawingml.chart+xml"/>
  <Override PartName="/xl/drawings/drawing56.xml" ContentType="application/vnd.openxmlformats-officedocument.drawingml.chartshapes+xml"/>
  <Override PartName="/xl/charts/chart65.xml" ContentType="application/vnd.openxmlformats-officedocument.drawingml.chart+xml"/>
  <Override PartName="/xl/drawings/drawing57.xml" ContentType="application/vnd.openxmlformats-officedocument.drawingml.chartshapes+xml"/>
  <Override PartName="/xl/charts/chart66.xml" ContentType="application/vnd.openxmlformats-officedocument.drawingml.chart+xml"/>
  <Override PartName="/xl/drawings/drawing58.xml" ContentType="application/vnd.openxmlformats-officedocument.drawingml.chartshapes+xml"/>
  <Override PartName="/xl/charts/chart67.xml" ContentType="application/vnd.openxmlformats-officedocument.drawingml.chart+xml"/>
  <Override PartName="/xl/drawings/drawing59.xml" ContentType="application/vnd.openxmlformats-officedocument.drawingml.chartshapes+xml"/>
  <Override PartName="/xl/charts/chart68.xml" ContentType="application/vnd.openxmlformats-officedocument.drawingml.chart+xml"/>
  <Override PartName="/xl/drawings/drawing60.xml" ContentType="application/vnd.openxmlformats-officedocument.drawingml.chartshapes+xml"/>
  <Override PartName="/xl/charts/chart69.xml" ContentType="application/vnd.openxmlformats-officedocument.drawingml.chart+xml"/>
  <Override PartName="/xl/drawings/drawing61.xml" ContentType="application/vnd.openxmlformats-officedocument.drawingml.chartshapes+xml"/>
  <Override PartName="/xl/charts/chart70.xml" ContentType="application/vnd.openxmlformats-officedocument.drawingml.chart+xml"/>
  <Override PartName="/xl/drawings/drawing62.xml" ContentType="application/vnd.openxmlformats-officedocument.drawingml.chartshapes+xml"/>
  <Override PartName="/xl/charts/chart71.xml" ContentType="application/vnd.openxmlformats-officedocument.drawingml.chart+xml"/>
  <Override PartName="/xl/drawings/drawing63.xml" ContentType="application/vnd.openxmlformats-officedocument.drawingml.chartshapes+xml"/>
  <Override PartName="/xl/charts/chart72.xml" ContentType="application/vnd.openxmlformats-officedocument.drawingml.chart+xml"/>
  <Override PartName="/xl/drawings/drawing64.xml" ContentType="application/vnd.openxmlformats-officedocument.drawingml.chartshapes+xml"/>
  <Override PartName="/xl/charts/chart73.xml" ContentType="application/vnd.openxmlformats-officedocument.drawingml.chart+xml"/>
  <Override PartName="/xl/drawings/drawing65.xml" ContentType="application/vnd.openxmlformats-officedocument.drawingml.chartshapes+xml"/>
  <Override PartName="/xl/charts/chart74.xml" ContentType="application/vnd.openxmlformats-officedocument.drawingml.chart+xml"/>
  <Override PartName="/xl/drawings/drawing66.xml" ContentType="application/vnd.openxmlformats-officedocument.drawingml.chartshapes+xml"/>
  <Override PartName="/xl/charts/chart75.xml" ContentType="application/vnd.openxmlformats-officedocument.drawingml.chart+xml"/>
  <Override PartName="/xl/drawings/drawing67.xml" ContentType="application/vnd.openxmlformats-officedocument.drawingml.chartshapes+xml"/>
  <Override PartName="/xl/charts/chart76.xml" ContentType="application/vnd.openxmlformats-officedocument.drawingml.chart+xml"/>
  <Override PartName="/xl/drawings/drawing68.xml" ContentType="application/vnd.openxmlformats-officedocument.drawingml.chartshapes+xml"/>
  <Override PartName="/xl/charts/chart77.xml" ContentType="application/vnd.openxmlformats-officedocument.drawingml.chart+xml"/>
  <Override PartName="/xl/drawings/drawing69.xml" ContentType="application/vnd.openxmlformats-officedocument.drawingml.chartshapes+xml"/>
  <Override PartName="/xl/drawings/drawing70.xml" ContentType="application/vnd.openxmlformats-officedocument.drawing+xml"/>
  <Override PartName="/xl/drawings/drawing71.xml" ContentType="application/vnd.openxmlformats-officedocument.drawing+xml"/>
  <Override PartName="/xl/comments13.xml" ContentType="application/vnd.openxmlformats-officedocument.spreadsheetml.comments+xml"/>
  <Override PartName="/xl/charts/chart78.xml" ContentType="application/vnd.openxmlformats-officedocument.drawingml.chart+xml"/>
  <Override PartName="/xl/charts/chart79.xml" ContentType="application/vnd.openxmlformats-officedocument.drawingml.chart+xml"/>
  <Override PartName="/xl/charts/chart80.xml" ContentType="application/vnd.openxmlformats-officedocument.drawingml.chart+xml"/>
  <Override PartName="/xl/charts/chart81.xml" ContentType="application/vnd.openxmlformats-officedocument.drawingml.chart+xml"/>
  <Override PartName="/xl/charts/chart82.xml" ContentType="application/vnd.openxmlformats-officedocument.drawingml.chart+xml"/>
  <Override PartName="/xl/charts/chart83.xml" ContentType="application/vnd.openxmlformats-officedocument.drawingml.chart+xml"/>
  <Override PartName="/xl/charts/chart84.xml" ContentType="application/vnd.openxmlformats-officedocument.drawingml.chart+xml"/>
  <Override PartName="/xl/charts/chart85.xml" ContentType="application/vnd.openxmlformats-officedocument.drawingml.chart+xml"/>
  <Override PartName="/xl/drawings/drawing72.xml" ContentType="application/vnd.openxmlformats-officedocument.drawing+xml"/>
  <Override PartName="/xl/comments14.xml" ContentType="application/vnd.openxmlformats-officedocument.spreadsheetml.comments+xml"/>
  <Override PartName="/xl/drawings/drawing73.xml" ContentType="application/vnd.openxmlformats-officedocument.drawing+xml"/>
  <Override PartName="/xl/comments15.xml" ContentType="application/vnd.openxmlformats-officedocument.spreadsheetml.comments+xml"/>
  <Override PartName="/xl/charts/chart86.xml" ContentType="application/vnd.openxmlformats-officedocument.drawingml.chart+xml"/>
  <Override PartName="/xl/drawings/drawing74.xml" ContentType="application/vnd.openxmlformats-officedocument.drawingml.chartshapes+xml"/>
  <Override PartName="/xl/charts/chart87.xml" ContentType="application/vnd.openxmlformats-officedocument.drawingml.chart+xml"/>
  <Override PartName="/xl/drawings/drawing75.xml" ContentType="application/vnd.openxmlformats-officedocument.drawingml.chartshapes+xml"/>
  <Override PartName="/xl/charts/chart88.xml" ContentType="application/vnd.openxmlformats-officedocument.drawingml.chart+xml"/>
  <Override PartName="/xl/drawings/drawing76.xml" ContentType="application/vnd.openxmlformats-officedocument.drawingml.chartshapes+xml"/>
  <Override PartName="/xl/charts/chart89.xml" ContentType="application/vnd.openxmlformats-officedocument.drawingml.chart+xml"/>
  <Override PartName="/xl/drawings/drawing77.xml" ContentType="application/vnd.openxmlformats-officedocument.drawingml.chartshapes+xml"/>
  <Override PartName="/xl/charts/chart90.xml" ContentType="application/vnd.openxmlformats-officedocument.drawingml.chart+xml"/>
  <Override PartName="/xl/drawings/drawing78.xml" ContentType="application/vnd.openxmlformats-officedocument.drawingml.chartshapes+xml"/>
  <Override PartName="/xl/charts/chart91.xml" ContentType="application/vnd.openxmlformats-officedocument.drawingml.chart+xml"/>
  <Override PartName="/xl/drawings/drawing79.xml" ContentType="application/vnd.openxmlformats-officedocument.drawingml.chartshapes+xml"/>
  <Override PartName="/xl/charts/chart92.xml" ContentType="application/vnd.openxmlformats-officedocument.drawingml.chart+xml"/>
  <Override PartName="/xl/drawings/drawing80.xml" ContentType="application/vnd.openxmlformats-officedocument.drawingml.chartshapes+xml"/>
  <Override PartName="/xl/charts/chart93.xml" ContentType="application/vnd.openxmlformats-officedocument.drawingml.chart+xml"/>
  <Override PartName="/xl/drawings/drawing81.xml" ContentType="application/vnd.openxmlformats-officedocument.drawingml.chartshapes+xml"/>
  <Override PartName="/xl/charts/chart94.xml" ContentType="application/vnd.openxmlformats-officedocument.drawingml.chart+xml"/>
  <Override PartName="/xl/drawings/drawing82.xml" ContentType="application/vnd.openxmlformats-officedocument.drawingml.chartshapes+xml"/>
  <Override PartName="/xl/charts/chart95.xml" ContentType="application/vnd.openxmlformats-officedocument.drawingml.chart+xml"/>
  <Override PartName="/xl/drawings/drawing83.xml" ContentType="application/vnd.openxmlformats-officedocument.drawingml.chartshapes+xml"/>
  <Override PartName="/xl/charts/chart96.xml" ContentType="application/vnd.openxmlformats-officedocument.drawingml.chart+xml"/>
  <Override PartName="/xl/drawings/drawing84.xml" ContentType="application/vnd.openxmlformats-officedocument.drawingml.chartshapes+xml"/>
  <Override PartName="/xl/charts/chart97.xml" ContentType="application/vnd.openxmlformats-officedocument.drawingml.chart+xml"/>
  <Override PartName="/xl/drawings/drawing85.xml" ContentType="application/vnd.openxmlformats-officedocument.drawingml.chartshapes+xml"/>
  <Override PartName="/xl/charts/chart98.xml" ContentType="application/vnd.openxmlformats-officedocument.drawingml.chart+xml"/>
  <Override PartName="/xl/drawings/drawing86.xml" ContentType="application/vnd.openxmlformats-officedocument.drawingml.chartshapes+xml"/>
  <Override PartName="/xl/charts/chart99.xml" ContentType="application/vnd.openxmlformats-officedocument.drawingml.chart+xml"/>
  <Override PartName="/xl/drawings/drawing87.xml" ContentType="application/vnd.openxmlformats-officedocument.drawingml.chartshapes+xml"/>
  <Override PartName="/xl/charts/chart100.xml" ContentType="application/vnd.openxmlformats-officedocument.drawingml.chart+xml"/>
  <Override PartName="/xl/drawings/drawing88.xml" ContentType="application/vnd.openxmlformats-officedocument.drawingml.chartshapes+xml"/>
  <Override PartName="/xl/charts/chart101.xml" ContentType="application/vnd.openxmlformats-officedocument.drawingml.chart+xml"/>
  <Override PartName="/xl/drawings/drawing89.xml" ContentType="application/vnd.openxmlformats-officedocument.drawingml.chartshapes+xml"/>
  <Override PartName="/xl/drawings/drawing90.xml" ContentType="application/vnd.openxmlformats-officedocument.drawing+xml"/>
  <Override PartName="/xl/drawings/drawing91.xml" ContentType="application/vnd.openxmlformats-officedocument.drawing+xml"/>
  <Override PartName="/xl/comments16.xml" ContentType="application/vnd.openxmlformats-officedocument.spreadsheetml.comments+xml"/>
  <Override PartName="/xl/charts/chart102.xml" ContentType="application/vnd.openxmlformats-officedocument.drawingml.chart+xml"/>
  <Override PartName="/xl/charts/chart103.xml" ContentType="application/vnd.openxmlformats-officedocument.drawingml.chart+xml"/>
  <Override PartName="/xl/charts/chart104.xml" ContentType="application/vnd.openxmlformats-officedocument.drawingml.chart+xml"/>
  <Override PartName="/xl/charts/chart105.xml" ContentType="application/vnd.openxmlformats-officedocument.drawingml.chart+xml"/>
  <Override PartName="/xl/charts/chart106.xml" ContentType="application/vnd.openxmlformats-officedocument.drawingml.chart+xml"/>
  <Override PartName="/xl/charts/chart107.xml" ContentType="application/vnd.openxmlformats-officedocument.drawingml.chart+xml"/>
  <Override PartName="/xl/charts/chart108.xml" ContentType="application/vnd.openxmlformats-officedocument.drawingml.chart+xml"/>
  <Override PartName="/xl/drawings/drawing92.xml" ContentType="application/vnd.openxmlformats-officedocument.drawing+xml"/>
  <Override PartName="/xl/comments17.xml" ContentType="application/vnd.openxmlformats-officedocument.spreadsheetml.comments+xml"/>
  <Override PartName="/xl/drawings/drawing93.xml" ContentType="application/vnd.openxmlformats-officedocument.drawing+xml"/>
  <Override PartName="/xl/comments18.xml" ContentType="application/vnd.openxmlformats-officedocument.spreadsheetml.comments+xml"/>
  <Override PartName="/xl/charts/chart109.xml" ContentType="application/vnd.openxmlformats-officedocument.drawingml.chart+xml"/>
  <Override PartName="/xl/drawings/drawing94.xml" ContentType="application/vnd.openxmlformats-officedocument.drawingml.chartshapes+xml"/>
  <Override PartName="/xl/charts/chart110.xml" ContentType="application/vnd.openxmlformats-officedocument.drawingml.chart+xml"/>
  <Override PartName="/xl/drawings/drawing95.xml" ContentType="application/vnd.openxmlformats-officedocument.drawingml.chartshapes+xml"/>
  <Override PartName="/xl/charts/chart111.xml" ContentType="application/vnd.openxmlformats-officedocument.drawingml.chart+xml"/>
  <Override PartName="/xl/drawings/drawing96.xml" ContentType="application/vnd.openxmlformats-officedocument.drawingml.chartshapes+xml"/>
  <Override PartName="/xl/charts/chart112.xml" ContentType="application/vnd.openxmlformats-officedocument.drawingml.chart+xml"/>
  <Override PartName="/xl/drawings/drawing97.xml" ContentType="application/vnd.openxmlformats-officedocument.drawingml.chartshapes+xml"/>
  <Override PartName="/xl/charts/chart113.xml" ContentType="application/vnd.openxmlformats-officedocument.drawingml.chart+xml"/>
  <Override PartName="/xl/drawings/drawing98.xml" ContentType="application/vnd.openxmlformats-officedocument.drawingml.chartshapes+xml"/>
  <Override PartName="/xl/charts/chart114.xml" ContentType="application/vnd.openxmlformats-officedocument.drawingml.chart+xml"/>
  <Override PartName="/xl/drawings/drawing99.xml" ContentType="application/vnd.openxmlformats-officedocument.drawingml.chartshapes+xml"/>
  <Override PartName="/xl/charts/chart115.xml" ContentType="application/vnd.openxmlformats-officedocument.drawingml.chart+xml"/>
  <Override PartName="/xl/drawings/drawing100.xml" ContentType="application/vnd.openxmlformats-officedocument.drawingml.chartshapes+xml"/>
  <Override PartName="/xl/charts/chart116.xml" ContentType="application/vnd.openxmlformats-officedocument.drawingml.chart+xml"/>
  <Override PartName="/xl/drawings/drawing101.xml" ContentType="application/vnd.openxmlformats-officedocument.drawingml.chartshapes+xml"/>
  <Override PartName="/xl/charts/chart117.xml" ContentType="application/vnd.openxmlformats-officedocument.drawingml.chart+xml"/>
  <Override PartName="/xl/drawings/drawing102.xml" ContentType="application/vnd.openxmlformats-officedocument.drawingml.chartshapes+xml"/>
  <Override PartName="/xl/charts/chart118.xml" ContentType="application/vnd.openxmlformats-officedocument.drawingml.chart+xml"/>
  <Override PartName="/xl/drawings/drawing103.xml" ContentType="application/vnd.openxmlformats-officedocument.drawingml.chartshapes+xml"/>
  <Override PartName="/xl/charts/chart119.xml" ContentType="application/vnd.openxmlformats-officedocument.drawingml.chart+xml"/>
  <Override PartName="/xl/drawings/drawing104.xml" ContentType="application/vnd.openxmlformats-officedocument.drawingml.chartshapes+xml"/>
  <Override PartName="/xl/drawings/drawing105.xml" ContentType="application/vnd.openxmlformats-officedocument.drawing+xml"/>
  <Override PartName="/xl/comments19.xml" ContentType="application/vnd.openxmlformats-officedocument.spreadsheetml.comments+xml"/>
  <Override PartName="/xl/drawings/drawing106.xml" ContentType="application/vnd.openxmlformats-officedocument.drawing+xml"/>
  <Override PartName="/xl/comments20.xml" ContentType="application/vnd.openxmlformats-officedocument.spreadsheetml.comments+xml"/>
  <Override PartName="/xl/charts/chart120.xml" ContentType="application/vnd.openxmlformats-officedocument.drawingml.chart+xml"/>
  <Override PartName="/xl/charts/chart121.xml" ContentType="application/vnd.openxmlformats-officedocument.drawingml.chart+xml"/>
  <Override PartName="/xl/charts/chart122.xml" ContentType="application/vnd.openxmlformats-officedocument.drawingml.chart+xml"/>
  <Override PartName="/xl/charts/chart123.xml" ContentType="application/vnd.openxmlformats-officedocument.drawingml.chart+xml"/>
  <Override PartName="/xl/drawings/drawing107.xml" ContentType="application/vnd.openxmlformats-officedocument.drawing+xml"/>
  <Override PartName="/xl/charts/chart124.xml" ContentType="application/vnd.openxmlformats-officedocument.drawingml.chart+xml"/>
  <Override PartName="/xl/drawings/drawing108.xml" ContentType="application/vnd.openxmlformats-officedocument.drawingml.chartshapes+xml"/>
  <Override PartName="/xl/charts/chart125.xml" ContentType="application/vnd.openxmlformats-officedocument.drawingml.chart+xml"/>
  <Override PartName="/xl/drawings/drawing109.xml" ContentType="application/vnd.openxmlformats-officedocument.drawingml.chartshapes+xml"/>
  <Override PartName="/xl/charts/chart126.xml" ContentType="application/vnd.openxmlformats-officedocument.drawingml.chart+xml"/>
  <Override PartName="/xl/drawings/drawing110.xml" ContentType="application/vnd.openxmlformats-officedocument.drawingml.chartshapes+xml"/>
  <Override PartName="/xl/drawings/drawing111.xml" ContentType="application/vnd.openxmlformats-officedocument.drawing+xml"/>
  <Override PartName="/xl/charts/chart127.xml" ContentType="application/vnd.openxmlformats-officedocument.drawingml.chart+xml"/>
  <Override PartName="/xl/charts/chart128.xml" ContentType="application/vnd.openxmlformats-officedocument.drawingml.chart+xml"/>
  <Override PartName="/xl/charts/chart129.xml" ContentType="application/vnd.openxmlformats-officedocument.drawingml.chart+xml"/>
  <Override PartName="/xl/charts/chart130.xml" ContentType="application/vnd.openxmlformats-officedocument.drawingml.chart+xml"/>
  <Override PartName="/xl/charts/chart131.xml" ContentType="application/vnd.openxmlformats-officedocument.drawingml.chart+xml"/>
  <Override PartName="/xl/charts/chart132.xml" ContentType="application/vnd.openxmlformats-officedocument.drawingml.chart+xml"/>
  <Override PartName="/xl/drawings/drawing112.xml" ContentType="application/vnd.openxmlformats-officedocument.drawing+xml"/>
  <Override PartName="/xl/comments21.xml" ContentType="application/vnd.openxmlformats-officedocument.spreadsheetml.comments+xml"/>
  <Override PartName="/xl/charts/chart133.xml" ContentType="application/vnd.openxmlformats-officedocument.drawingml.chart+xml"/>
  <Override PartName="/xl/charts/chart134.xml" ContentType="application/vnd.openxmlformats-officedocument.drawingml.chart+xml"/>
  <Override PartName="/xl/charts/chart135.xml" ContentType="application/vnd.openxmlformats-officedocument.drawingml.chart+xml"/>
  <Override PartName="/xl/charts/chart136.xml" ContentType="application/vnd.openxmlformats-officedocument.drawingml.chart+xml"/>
  <Override PartName="/xl/charts/chart137.xml" ContentType="application/vnd.openxmlformats-officedocument.drawingml.chart+xml"/>
  <Override PartName="/xl/charts/chart138.xml" ContentType="application/vnd.openxmlformats-officedocument.drawingml.chart+xml"/>
  <Override PartName="/xl/drawings/drawing113.xml" ContentType="application/vnd.openxmlformats-officedocument.drawing+xml"/>
  <Override PartName="/xl/charts/chart139.xml" ContentType="application/vnd.openxmlformats-officedocument.drawingml.chart+xml"/>
  <Override PartName="/xl/drawings/drawing114.xml" ContentType="application/vnd.openxmlformats-officedocument.drawingml.chartshapes+xml"/>
  <Override PartName="/xl/charts/chart140.xml" ContentType="application/vnd.openxmlformats-officedocument.drawingml.chart+xml"/>
  <Override PartName="/xl/drawings/drawing115.xml" ContentType="application/vnd.openxmlformats-officedocument.drawingml.chartshapes+xml"/>
  <Override PartName="/xl/charts/chart141.xml" ContentType="application/vnd.openxmlformats-officedocument.drawingml.chart+xml"/>
  <Override PartName="/xl/drawings/drawing116.xml" ContentType="application/vnd.openxmlformats-officedocument.drawingml.chartshapes+xml"/>
  <Override PartName="/xl/charts/chart142.xml" ContentType="application/vnd.openxmlformats-officedocument.drawingml.chart+xml"/>
  <Override PartName="/xl/drawings/drawing117.xml" ContentType="application/vnd.openxmlformats-officedocument.drawingml.chartshapes+xml"/>
  <Override PartName="/xl/drawings/drawing118.xml" ContentType="application/vnd.openxmlformats-officedocument.drawing+xml"/>
  <Override PartName="/xl/charts/chart143.xml" ContentType="application/vnd.openxmlformats-officedocument.drawingml.chart+xml"/>
  <Override PartName="/xl/charts/chart144.xml" ContentType="application/vnd.openxmlformats-officedocument.drawingml.chart+xml"/>
  <Override PartName="/xl/charts/chart145.xml" ContentType="application/vnd.openxmlformats-officedocument.drawingml.chart+xml"/>
  <Override PartName="/xl/charts/chart146.xml" ContentType="application/vnd.openxmlformats-officedocument.drawingml.chart+xml"/>
  <Override PartName="/xl/drawings/drawing119.xml" ContentType="application/vnd.openxmlformats-officedocument.drawing+xml"/>
  <Override PartName="/xl/comments22.xml" ContentType="application/vnd.openxmlformats-officedocument.spreadsheetml.comments+xml"/>
  <Override PartName="/xl/charts/chart147.xml" ContentType="application/vnd.openxmlformats-officedocument.drawingml.chart+xml"/>
  <Override PartName="/xl/charts/chart148.xml" ContentType="application/vnd.openxmlformats-officedocument.drawingml.chart+xml"/>
  <Override PartName="/xl/drawings/drawing120.xml" ContentType="application/vnd.openxmlformats-officedocument.drawing+xml"/>
  <Override PartName="/xl/charts/chart149.xml" ContentType="application/vnd.openxmlformats-officedocument.drawingml.chart+xml"/>
  <Override PartName="/xl/drawings/drawing121.xml" ContentType="application/vnd.openxmlformats-officedocument.drawingml.chartshapes+xml"/>
  <Override PartName="/xl/charts/chart150.xml" ContentType="application/vnd.openxmlformats-officedocument.drawingml.chart+xml"/>
  <Override PartName="/xl/drawings/drawing122.xml" ContentType="application/vnd.openxmlformats-officedocument.drawingml.chartshapes+xml"/>
  <Override PartName="/xl/drawings/drawing123.xml" ContentType="application/vnd.openxmlformats-officedocument.drawing+xml"/>
  <Override PartName="/xl/drawings/drawing124.xml" ContentType="application/vnd.openxmlformats-officedocument.drawing+xml"/>
  <Override PartName="/xl/comments23.xml" ContentType="application/vnd.openxmlformats-officedocument.spreadsheetml.comments+xml"/>
  <Override PartName="/xl/charts/chart151.xml" ContentType="application/vnd.openxmlformats-officedocument.drawingml.chart+xml"/>
  <Override PartName="/xl/charts/chart152.xml" ContentType="application/vnd.openxmlformats-officedocument.drawingml.chart+xml"/>
  <Override PartName="/xl/drawings/drawing125.xml" ContentType="application/vnd.openxmlformats-officedocument.drawing+xml"/>
  <Override PartName="/xl/drawings/drawing126.xml" ContentType="application/vnd.openxmlformats-officedocument.drawing+xml"/>
  <Override PartName="/xl/drawings/drawing127.xml" ContentType="application/vnd.openxmlformats-officedocument.drawing+xml"/>
  <Override PartName="/xl/comments24.xml" ContentType="application/vnd.openxmlformats-officedocument.spreadsheetml.comments+xml"/>
  <Override PartName="/xl/charts/chart153.xml" ContentType="application/vnd.openxmlformats-officedocument.drawingml.chart+xml"/>
  <Override PartName="/xl/charts/chart154.xml" ContentType="application/vnd.openxmlformats-officedocument.drawingml.chart+xml"/>
  <Override PartName="/xl/charts/chart155.xml" ContentType="application/vnd.openxmlformats-officedocument.drawingml.chart+xml"/>
  <Override PartName="/xl/charts/chart156.xml" ContentType="application/vnd.openxmlformats-officedocument.drawingml.chart+xml"/>
  <Override PartName="/xl/drawings/drawing128.xml" ContentType="application/vnd.openxmlformats-officedocument.drawing+xml"/>
  <Override PartName="/xl/charts/chart157.xml" ContentType="application/vnd.openxmlformats-officedocument.drawingml.chart+xml"/>
  <Override PartName="/xl/drawings/drawing129.xml" ContentType="application/vnd.openxmlformats-officedocument.drawingml.chartshapes+xml"/>
  <Override PartName="/xl/drawings/drawing130.xml" ContentType="application/vnd.openxmlformats-officedocument.drawing+xml"/>
  <Override PartName="/xl/drawings/drawing131.xml" ContentType="application/vnd.openxmlformats-officedocument.drawing+xml"/>
  <Override PartName="/xl/comments25.xml" ContentType="application/vnd.openxmlformats-officedocument.spreadsheetml.comments+xml"/>
  <Override PartName="/xl/charts/chart158.xml" ContentType="application/vnd.openxmlformats-officedocument.drawingml.chart+xml"/>
  <Override PartName="/xl/charts/chart159.xml" ContentType="application/vnd.openxmlformats-officedocument.drawingml.chart+xml"/>
  <Override PartName="/xl/charts/chart160.xml" ContentType="application/vnd.openxmlformats-officedocument.drawingml.chart+xml"/>
  <Override PartName="/xl/charts/chart161.xml" ContentType="application/vnd.openxmlformats-officedocument.drawingml.chart+xml"/>
  <Override PartName="/xl/charts/chart162.xml" ContentType="application/vnd.openxmlformats-officedocument.drawingml.chart+xml"/>
  <Override PartName="/xl/drawings/drawing132.xml" ContentType="application/vnd.openxmlformats-officedocument.drawing+xml"/>
  <Override PartName="/xl/charts/chart163.xml" ContentType="application/vnd.openxmlformats-officedocument.drawingml.chart+xml"/>
  <Override PartName="/xl/drawings/drawing133.xml" ContentType="application/vnd.openxmlformats-officedocument.drawingml.chartshapes+xml"/>
  <Override PartName="/xl/charts/chart164.xml" ContentType="application/vnd.openxmlformats-officedocument.drawingml.chart+xml"/>
  <Override PartName="/xl/drawings/drawing134.xml" ContentType="application/vnd.openxmlformats-officedocument.drawingml.chartshapes+xml"/>
  <Override PartName="/xl/charts/chart165.xml" ContentType="application/vnd.openxmlformats-officedocument.drawingml.chart+xml"/>
  <Override PartName="/xl/drawings/drawing135.xml" ContentType="application/vnd.openxmlformats-officedocument.drawingml.chartshapes+xml"/>
  <Override PartName="/xl/charts/chart166.xml" ContentType="application/vnd.openxmlformats-officedocument.drawingml.chart+xml"/>
  <Override PartName="/xl/drawings/drawing136.xml" ContentType="application/vnd.openxmlformats-officedocument.drawingml.chartshapes+xml"/>
  <Override PartName="/xl/charts/chart167.xml" ContentType="application/vnd.openxmlformats-officedocument.drawingml.chart+xml"/>
  <Override PartName="/xl/drawings/drawing137.xml" ContentType="application/vnd.openxmlformats-officedocument.drawingml.chartshapes+xml"/>
  <Override PartName="/xl/drawings/drawing138.xml" ContentType="application/vnd.openxmlformats-officedocument.drawing+xml"/>
  <Override PartName="/xl/drawings/drawing139.xml" ContentType="application/vnd.openxmlformats-officedocument.drawing+xml"/>
  <Override PartName="/xl/comments26.xml" ContentType="application/vnd.openxmlformats-officedocument.spreadsheetml.comments+xml"/>
  <Override PartName="/xl/drawings/drawing140.xml" ContentType="application/vnd.openxmlformats-officedocument.drawing+xml"/>
  <Override PartName="/xl/charts/chart168.xml" ContentType="application/vnd.openxmlformats-officedocument.drawingml.chart+xml"/>
  <Override PartName="/xl/charts/chart169.xml" ContentType="application/vnd.openxmlformats-officedocument.drawingml.chart+xml"/>
  <Override PartName="/xl/charts/chart170.xml" ContentType="application/vnd.openxmlformats-officedocument.drawingml.chart+xml"/>
  <Override PartName="/xl/charts/chart171.xml" ContentType="application/vnd.openxmlformats-officedocument.drawingml.chart+xml"/>
  <Override PartName="/xl/charts/chart172.xml" ContentType="application/vnd.openxmlformats-officedocument.drawingml.chart+xml"/>
  <Override PartName="/xl/charts/chart173.xml" ContentType="application/vnd.openxmlformats-officedocument.drawingml.chart+xml"/>
  <Override PartName="/xl/charts/chart174.xml" ContentType="application/vnd.openxmlformats-officedocument.drawingml.chart+xml"/>
  <Override PartName="/xl/drawings/drawing141.xml" ContentType="application/vnd.openxmlformats-officedocument.drawing+xml"/>
  <Override PartName="/xl/charts/chart175.xml" ContentType="application/vnd.openxmlformats-officedocument.drawingml.chart+xml"/>
  <Override PartName="/xl/charts/chart176.xml" ContentType="application/vnd.openxmlformats-officedocument.drawingml.chart+xml"/>
  <Override PartName="/xl/charts/chart177.xml" ContentType="application/vnd.openxmlformats-officedocument.drawingml.chart+xml"/>
  <Override PartName="/xl/charts/chart178.xml" ContentType="application/vnd.openxmlformats-officedocument.drawingml.chart+xml"/>
  <Override PartName="/xl/charts/chart179.xml" ContentType="application/vnd.openxmlformats-officedocument.drawingml.chart+xml"/>
  <Override PartName="/xl/charts/chart180.xml" ContentType="application/vnd.openxmlformats-officedocument.drawingml.chart+xml"/>
  <Override PartName="/xl/charts/chart181.xml" ContentType="application/vnd.openxmlformats-officedocument.drawingml.chart+xml"/>
  <Override PartName="/xl/charts/chart182.xml" ContentType="application/vnd.openxmlformats-officedocument.drawingml.chart+xml"/>
  <Override PartName="/xl/charts/chart183.xml" ContentType="application/vnd.openxmlformats-officedocument.drawingml.chart+xml"/>
  <Override PartName="/xl/charts/chart184.xml" ContentType="application/vnd.openxmlformats-officedocument.drawingml.chart+xml"/>
  <Override PartName="/xl/charts/chart185.xml" ContentType="application/vnd.openxmlformats-officedocument.drawingml.chart+xml"/>
  <Override PartName="/xl/charts/chart186.xml" ContentType="application/vnd.openxmlformats-officedocument.drawingml.chart+xml"/>
  <Override PartName="/xl/charts/chart187.xml" ContentType="application/vnd.openxmlformats-officedocument.drawingml.chart+xml"/>
  <Override PartName="/xl/charts/chart188.xml" ContentType="application/vnd.openxmlformats-officedocument.drawingml.chart+xml"/>
  <Override PartName="/xl/charts/chart189.xml" ContentType="application/vnd.openxmlformats-officedocument.drawingml.chart+xml"/>
  <Override PartName="/xl/charts/chart190.xml" ContentType="application/vnd.openxmlformats-officedocument.drawingml.chart+xml"/>
  <Override PartName="/xl/charts/chart191.xml" ContentType="application/vnd.openxmlformats-officedocument.drawingml.chart+xml"/>
  <Override PartName="/xl/charts/chart192.xml" ContentType="application/vnd.openxmlformats-officedocument.drawingml.chart+xml"/>
  <Override PartName="/xl/charts/chart193.xml" ContentType="application/vnd.openxmlformats-officedocument.drawingml.chart+xml"/>
  <Override PartName="/xl/charts/chart194.xml" ContentType="application/vnd.openxmlformats-officedocument.drawingml.chart+xml"/>
  <Override PartName="/xl/charts/chart195.xml" ContentType="application/vnd.openxmlformats-officedocument.drawingml.chart+xml"/>
  <Override PartName="/xl/charts/chart196.xml" ContentType="application/vnd.openxmlformats-officedocument.drawingml.chart+xml"/>
  <Override PartName="/xl/charts/chart197.xml" ContentType="application/vnd.openxmlformats-officedocument.drawingml.chart+xml"/>
  <Override PartName="/xl/charts/chart198.xml" ContentType="application/vnd.openxmlformats-officedocument.drawingml.chart+xml"/>
  <Override PartName="/xl/charts/chart199.xml" ContentType="application/vnd.openxmlformats-officedocument.drawingml.chart+xml"/>
  <Override PartName="/xl/charts/chart200.xml" ContentType="application/vnd.openxmlformats-officedocument.drawingml.chart+xml"/>
  <Override PartName="/xl/charts/chart201.xml" ContentType="application/vnd.openxmlformats-officedocument.drawingml.chart+xml"/>
  <Override PartName="/xl/charts/chart202.xml" ContentType="application/vnd.openxmlformats-officedocument.drawingml.chart+xml"/>
  <Override PartName="/xl/charts/chart203.xml" ContentType="application/vnd.openxmlformats-officedocument.drawingml.chart+xml"/>
  <Override PartName="/xl/charts/chart204.xml" ContentType="application/vnd.openxmlformats-officedocument.drawingml.chart+xml"/>
  <Override PartName="/xl/charts/chart205.xml" ContentType="application/vnd.openxmlformats-officedocument.drawingml.chart+xml"/>
  <Override PartName="/xl/charts/chart20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workbookProtection workbookPassword="E69B" lockStructure="1"/>
  <bookViews>
    <workbookView xWindow="120" yWindow="285" windowWidth="13395" windowHeight="5205"/>
  </bookViews>
  <sheets>
    <sheet name="Index" sheetId="33" r:id="rId1"/>
    <sheet name="2015 - Descrição" sheetId="1" r:id="rId2"/>
    <sheet name="2015 - Gráficos" sheetId="7" r:id="rId3"/>
    <sheet name="2015 - MTBF, MTTF, Exponencial" sheetId="15" r:id="rId4"/>
    <sheet name="2015 - Ciclo de Operação" sheetId="32" r:id="rId5"/>
    <sheet name="2014 - Descrição" sheetId="2" r:id="rId6"/>
    <sheet name="2014 - Gráficos" sheetId="10" r:id="rId7"/>
    <sheet name="2014 - MTBF, MTTF, Exponencial" sheetId="19" r:id="rId8"/>
    <sheet name="2014 - Ciclo de Operação" sheetId="34" r:id="rId9"/>
    <sheet name="2013 - Descrição" sheetId="3" r:id="rId10"/>
    <sheet name="2013 - Gráficos" sheetId="11" r:id="rId11"/>
    <sheet name="2013 - MTBF, MTTF, Exponencial" sheetId="21" r:id="rId12"/>
    <sheet name="2013 - Ciclo de Operação" sheetId="36" r:id="rId13"/>
    <sheet name="2012 - Descrição" sheetId="4" r:id="rId14"/>
    <sheet name="2012 - Gráficos" sheetId="12" r:id="rId15"/>
    <sheet name="2012 - MTBF, MTTF, Exponencial" sheetId="23" r:id="rId16"/>
    <sheet name="2012 - Ciclo de Operação" sheetId="38" r:id="rId17"/>
    <sheet name="2011 - Descrição" sheetId="5" r:id="rId18"/>
    <sheet name="2011 - Gráficos" sheetId="13" r:id="rId19"/>
    <sheet name="2011 - MTBF, MTTF, Exponencial" sheetId="25" r:id="rId20"/>
    <sheet name="2011 - Ciclo de Operação" sheetId="40" r:id="rId21"/>
    <sheet name="2010 - Descrição" sheetId="6" r:id="rId22"/>
    <sheet name="2010 - Gráficos" sheetId="14" r:id="rId23"/>
    <sheet name="2010 - MTBF, MTTF, Exponencial" sheetId="27" r:id="rId24"/>
    <sheet name="2010 - Ciclo de Operação" sheetId="42" r:id="rId25"/>
    <sheet name="Incinerador 1 - Total" sheetId="43" r:id="rId26"/>
    <sheet name="Inciner 2 - Total - Exponencial" sheetId="45" r:id="rId27"/>
    <sheet name="Incinerador 2 - Total - Weibull" sheetId="72" r:id="rId28"/>
    <sheet name="Incinera 2 - Familias - Weibull" sheetId="71" r:id="rId29"/>
    <sheet name="Inciner 3 - Total - Exponencial" sheetId="46" r:id="rId30"/>
    <sheet name="Incinerador 3 - Total - Weibull" sheetId="61" r:id="rId31"/>
    <sheet name="Incinera 3 - Familias - Weibull" sheetId="70" r:id="rId32"/>
    <sheet name="Comb.fo 31 - Total - Exponencia" sheetId="47" r:id="rId33"/>
    <sheet name="Comb.fo 31 - Total - Weibull" sheetId="62" r:id="rId34"/>
    <sheet name="Comb.fo 31 - Familias - Weibull" sheetId="69" r:id="rId35"/>
    <sheet name="Comb.fo 41 - Total - Exponencia" sheetId="48" r:id="rId36"/>
    <sheet name="Comb.fo 41 - Total - Weibull" sheetId="63" r:id="rId37"/>
    <sheet name="Comb.fo 41 - Familias - Weibull" sheetId="68" r:id="rId38"/>
    <sheet name="Moinhos - Total - Exponencial" sheetId="49" r:id="rId39"/>
    <sheet name="Moinhos - Total - Weibull" sheetId="64" r:id="rId40"/>
    <sheet name="Moinhos - Familias - Weibull" sheetId="67" r:id="rId41"/>
    <sheet name="Postos Urb. ambiente - Exponenc" sheetId="53" r:id="rId42"/>
    <sheet name="Postos Urb. ambiente - Weibull" sheetId="65" r:id="rId43"/>
    <sheet name="Postos Urb. - Familias - Weibul" sheetId="66" r:id="rId44"/>
    <sheet name="Pasta de papel - Total" sheetId="58" r:id="rId45"/>
    <sheet name="MTBF Zonas" sheetId="28" r:id="rId46"/>
    <sheet name="MTBF Equipamento" sheetId="29" r:id="rId47"/>
  </sheets>
  <definedNames>
    <definedName name="_xlnm._FilterDatabase" localSheetId="24" hidden="1">'2010 - Ciclo de Operação'!$A$7:$H$37</definedName>
    <definedName name="_xlnm._FilterDatabase" localSheetId="20" hidden="1">'2011 - Ciclo de Operação'!$A$7:$H$58</definedName>
    <definedName name="_xlnm._FilterDatabase" localSheetId="16" hidden="1">'2012 - Ciclo de Operação'!$A$7:$H$69</definedName>
    <definedName name="_xlnm._FilterDatabase" localSheetId="12" hidden="1">'2013 - Ciclo de Operação'!$A$7:$H$53</definedName>
    <definedName name="_xlnm._FilterDatabase" localSheetId="8" hidden="1">'2014 - Ciclo de Operação'!$A$7:$H$40</definedName>
    <definedName name="_xlnm._FilterDatabase" localSheetId="4" hidden="1">'2015 - Ciclo de Operação'!$A$7:$H$36</definedName>
    <definedName name="_xlnm._FilterDatabase" localSheetId="1" hidden="1">'2015 - Descrição'!$B$6:$F$26</definedName>
  </definedNames>
  <calcPr calcId="144525"/>
</workbook>
</file>

<file path=xl/calcChain.xml><?xml version="1.0" encoding="utf-8"?>
<calcChain xmlns="http://schemas.openxmlformats.org/spreadsheetml/2006/main">
  <c r="G26" i="71" l="1"/>
  <c r="Y27" i="72"/>
  <c r="BA8" i="65" l="1"/>
  <c r="BA9" i="65"/>
  <c r="BA10" i="65"/>
  <c r="BA11" i="65"/>
  <c r="BA12" i="65"/>
  <c r="BA13" i="65"/>
  <c r="BA14" i="65"/>
  <c r="BA15" i="65"/>
  <c r="BA16" i="65"/>
  <c r="BA17" i="65"/>
  <c r="BA18" i="65"/>
  <c r="BA19" i="65"/>
  <c r="BA20" i="65"/>
  <c r="BA21" i="65"/>
  <c r="BA22" i="65"/>
  <c r="BA23" i="65"/>
  <c r="BA24" i="65"/>
  <c r="BA25" i="65"/>
  <c r="BA26" i="65"/>
  <c r="BA27" i="65"/>
  <c r="BA28" i="65"/>
  <c r="BA29" i="65"/>
  <c r="BA30" i="65"/>
  <c r="BA31" i="65"/>
  <c r="BA32" i="65"/>
  <c r="BA33" i="65"/>
  <c r="BA34" i="65"/>
  <c r="BA35" i="65"/>
  <c r="BA36" i="65"/>
  <c r="BA37" i="65"/>
  <c r="BA38" i="65"/>
  <c r="BA7" i="65"/>
  <c r="AW8" i="65"/>
  <c r="AW7" i="65"/>
  <c r="AZ9" i="65"/>
  <c r="AZ10" i="65" s="1"/>
  <c r="AT8" i="65"/>
  <c r="AU8" i="65" s="1"/>
  <c r="AQ8" i="65"/>
  <c r="AT7" i="65"/>
  <c r="AQ7" i="65"/>
  <c r="EF9" i="65"/>
  <c r="DZ8" i="65"/>
  <c r="DZ9" i="65"/>
  <c r="EA9" i="65" s="1"/>
  <c r="DW9" i="65"/>
  <c r="DW8" i="65"/>
  <c r="DZ7" i="65"/>
  <c r="DW7" i="65"/>
  <c r="CX8" i="65"/>
  <c r="CY8" i="65" s="1"/>
  <c r="CX9" i="65"/>
  <c r="CX10" i="65"/>
  <c r="CY10" i="65" s="1"/>
  <c r="CX11" i="65"/>
  <c r="CX12" i="65"/>
  <c r="CY12" i="65" s="1"/>
  <c r="CU8" i="65"/>
  <c r="CU9" i="65"/>
  <c r="CU10" i="65"/>
  <c r="CU11" i="65"/>
  <c r="CU12" i="65"/>
  <c r="DD9" i="65"/>
  <c r="DD10" i="65" s="1"/>
  <c r="CX7" i="65"/>
  <c r="CY7" i="65" s="1"/>
  <c r="CU7" i="65"/>
  <c r="CB9" i="65"/>
  <c r="DT11" i="65"/>
  <c r="DT7" i="65" s="1"/>
  <c r="DU7" i="65" s="1"/>
  <c r="CR14" i="65"/>
  <c r="CR7" i="65" s="1"/>
  <c r="CV7" i="65" s="1"/>
  <c r="CW7" i="65" s="1"/>
  <c r="BV8" i="65"/>
  <c r="BV9" i="65"/>
  <c r="BV10" i="65"/>
  <c r="BV11" i="65"/>
  <c r="BS8" i="65"/>
  <c r="BS9" i="65"/>
  <c r="BS10" i="65"/>
  <c r="BS11" i="65"/>
  <c r="BV7" i="65"/>
  <c r="BW7" i="65" s="1"/>
  <c r="BS7" i="65"/>
  <c r="X9" i="65"/>
  <c r="X10" i="65" s="1"/>
  <c r="R8" i="65"/>
  <c r="R9" i="65"/>
  <c r="R10" i="65"/>
  <c r="R11" i="65"/>
  <c r="O8" i="65"/>
  <c r="O9" i="65"/>
  <c r="O10" i="65"/>
  <c r="O11" i="65"/>
  <c r="R7" i="65"/>
  <c r="S7" i="65" s="1"/>
  <c r="O7" i="65"/>
  <c r="L13" i="65"/>
  <c r="L8" i="65" s="1"/>
  <c r="P8" i="65" s="1"/>
  <c r="Q8" i="65" s="1"/>
  <c r="AM8" i="64"/>
  <c r="AM9" i="64"/>
  <c r="AM10" i="64"/>
  <c r="AM11" i="64"/>
  <c r="AM12" i="64"/>
  <c r="AM13" i="64"/>
  <c r="AM14" i="64"/>
  <c r="AM15" i="64"/>
  <c r="AM16" i="64"/>
  <c r="AM17" i="64"/>
  <c r="AM18" i="64"/>
  <c r="AM19" i="64"/>
  <c r="AM20" i="64"/>
  <c r="AM21" i="64"/>
  <c r="AM22" i="64"/>
  <c r="AM23" i="64"/>
  <c r="AM24" i="64"/>
  <c r="AM25" i="64"/>
  <c r="AM26" i="64"/>
  <c r="AM27" i="64"/>
  <c r="AM28" i="64"/>
  <c r="AM29" i="64"/>
  <c r="AM30" i="64"/>
  <c r="AM31" i="64"/>
  <c r="AM32" i="64"/>
  <c r="AM33" i="64"/>
  <c r="AM34" i="64"/>
  <c r="AM35" i="64"/>
  <c r="AM7" i="64"/>
  <c r="AL9" i="64"/>
  <c r="AL10" i="64" s="1"/>
  <c r="AH8" i="64"/>
  <c r="AH9" i="64"/>
  <c r="AH10" i="64"/>
  <c r="AH11" i="64"/>
  <c r="AH12" i="64"/>
  <c r="AG8" i="64"/>
  <c r="AG9" i="64"/>
  <c r="AG10" i="64"/>
  <c r="AG11" i="64"/>
  <c r="AG12" i="64"/>
  <c r="AF8" i="64"/>
  <c r="AF14" i="64" s="1"/>
  <c r="Y31" i="64" s="1"/>
  <c r="AF9" i="64"/>
  <c r="AF10" i="64"/>
  <c r="AF11" i="64"/>
  <c r="AF12" i="64"/>
  <c r="AC8" i="64"/>
  <c r="AC9" i="64"/>
  <c r="AC10" i="64"/>
  <c r="AC11" i="64"/>
  <c r="AC12" i="64"/>
  <c r="AF7" i="64"/>
  <c r="AG7" i="64" s="1"/>
  <c r="AC7" i="64"/>
  <c r="R8" i="64"/>
  <c r="O8" i="64"/>
  <c r="S7" i="64"/>
  <c r="R7" i="64"/>
  <c r="O7" i="64"/>
  <c r="BA8" i="62"/>
  <c r="BA9" i="62"/>
  <c r="BA10" i="62"/>
  <c r="BA11" i="62"/>
  <c r="BA12" i="62"/>
  <c r="BA13" i="62"/>
  <c r="BA14" i="62"/>
  <c r="BA15" i="62"/>
  <c r="BA16" i="62"/>
  <c r="BA17" i="62"/>
  <c r="BA18" i="62"/>
  <c r="BA19" i="62"/>
  <c r="BA20" i="62"/>
  <c r="BA21" i="62"/>
  <c r="BA22" i="62"/>
  <c r="BA23" i="62"/>
  <c r="BA24" i="62"/>
  <c r="BA25" i="62"/>
  <c r="BA26" i="62"/>
  <c r="BA27" i="62"/>
  <c r="BA28" i="62"/>
  <c r="BA29" i="62"/>
  <c r="BA30" i="62"/>
  <c r="BA31" i="62"/>
  <c r="BA32" i="62"/>
  <c r="BA33" i="62"/>
  <c r="BA34" i="62"/>
  <c r="BA35" i="62"/>
  <c r="BA36" i="62"/>
  <c r="BA37" i="62"/>
  <c r="BA38" i="62"/>
  <c r="BA7" i="62"/>
  <c r="AW8" i="62"/>
  <c r="AW7" i="62"/>
  <c r="AV8" i="62"/>
  <c r="AV10" i="62" s="1"/>
  <c r="AP26" i="62" s="1"/>
  <c r="AU8" i="62"/>
  <c r="AT8" i="62"/>
  <c r="AS8" i="62"/>
  <c r="AS10" i="62" s="1"/>
  <c r="AP27" i="62" s="1"/>
  <c r="AR8" i="62"/>
  <c r="AQ8" i="62"/>
  <c r="AP8" i="62"/>
  <c r="AO8" i="62"/>
  <c r="AN27" i="62"/>
  <c r="AZ9" i="62"/>
  <c r="AU10" i="62"/>
  <c r="AM26" i="62" s="1"/>
  <c r="AT10" i="62"/>
  <c r="AM27" i="62" s="1"/>
  <c r="AU7" i="62"/>
  <c r="AT7" i="62"/>
  <c r="AV7" i="62" s="1"/>
  <c r="AS7" i="62"/>
  <c r="AR7" i="62"/>
  <c r="AQ7" i="62"/>
  <c r="AP7" i="62"/>
  <c r="AO7" i="62"/>
  <c r="Y8" i="62"/>
  <c r="Y9" i="62"/>
  <c r="Y10" i="62"/>
  <c r="Y11" i="62"/>
  <c r="Y12" i="62"/>
  <c r="Y13" i="62"/>
  <c r="Y14" i="62"/>
  <c r="Y15" i="62"/>
  <c r="Y16" i="62"/>
  <c r="Y17" i="62"/>
  <c r="Y18" i="62"/>
  <c r="Y19" i="62"/>
  <c r="Y20" i="62"/>
  <c r="Y21" i="62"/>
  <c r="Y22" i="62"/>
  <c r="Y23" i="62"/>
  <c r="Y24" i="62"/>
  <c r="Y25" i="62"/>
  <c r="Y26" i="62"/>
  <c r="Y27" i="62"/>
  <c r="Y28" i="62"/>
  <c r="Y29" i="62"/>
  <c r="Y30" i="62"/>
  <c r="Y31" i="62"/>
  <c r="Y32" i="62"/>
  <c r="Y33" i="62"/>
  <c r="Y34" i="62"/>
  <c r="Y35" i="62"/>
  <c r="Y36" i="62"/>
  <c r="Y37" i="62"/>
  <c r="Y38" i="62"/>
  <c r="Y7" i="62"/>
  <c r="U8" i="62"/>
  <c r="U9" i="62"/>
  <c r="U10" i="62"/>
  <c r="U11" i="62"/>
  <c r="U7" i="62"/>
  <c r="T13" i="62"/>
  <c r="N29" i="62" s="1"/>
  <c r="S13" i="62"/>
  <c r="R13" i="62"/>
  <c r="Q13" i="62"/>
  <c r="T8" i="62"/>
  <c r="T9" i="62"/>
  <c r="T10" i="62"/>
  <c r="T11" i="62"/>
  <c r="S8" i="62"/>
  <c r="S9" i="62"/>
  <c r="S10" i="62"/>
  <c r="S11" i="62"/>
  <c r="R8" i="62"/>
  <c r="R9" i="62"/>
  <c r="R10" i="62"/>
  <c r="R11" i="62"/>
  <c r="Q8" i="62"/>
  <c r="Q9" i="62"/>
  <c r="Q10" i="62"/>
  <c r="Q11" i="62"/>
  <c r="P8" i="62"/>
  <c r="P9" i="62"/>
  <c r="P10" i="62"/>
  <c r="P11" i="62"/>
  <c r="O8" i="62"/>
  <c r="O9" i="62"/>
  <c r="O10" i="62"/>
  <c r="O11" i="62"/>
  <c r="N8" i="62"/>
  <c r="N9" i="62"/>
  <c r="N10" i="62"/>
  <c r="N11" i="62"/>
  <c r="M8" i="62"/>
  <c r="M9" i="62"/>
  <c r="M10" i="62"/>
  <c r="M11" i="62"/>
  <c r="X9" i="62"/>
  <c r="X10" i="62" s="1"/>
  <c r="N30" i="62"/>
  <c r="K30" i="62"/>
  <c r="L29" i="62"/>
  <c r="K29" i="62"/>
  <c r="K34" i="62" s="1" a="1"/>
  <c r="S7" i="62"/>
  <c r="R7" i="62"/>
  <c r="O7" i="62"/>
  <c r="DV7" i="65" l="1"/>
  <c r="DX7" i="65"/>
  <c r="DY7" i="65" s="1"/>
  <c r="EB7" i="65"/>
  <c r="EA8" i="65"/>
  <c r="DT28" i="65"/>
  <c r="CS7" i="65"/>
  <c r="EA7" i="65"/>
  <c r="EA11" i="65" s="1"/>
  <c r="DS27" i="65" s="1"/>
  <c r="DZ11" i="65"/>
  <c r="AU7" i="65"/>
  <c r="AU10" i="65" s="1"/>
  <c r="AM26" i="65" s="1"/>
  <c r="AT10" i="65"/>
  <c r="AZ11" i="65"/>
  <c r="EF10" i="65"/>
  <c r="CT7" i="65"/>
  <c r="CZ7" i="65"/>
  <c r="CR31" i="65"/>
  <c r="CX14" i="65"/>
  <c r="CY11" i="65"/>
  <c r="CY9" i="65"/>
  <c r="CY14" i="65" s="1"/>
  <c r="CQ30" i="65" s="1"/>
  <c r="DD11" i="65"/>
  <c r="BP10" i="65"/>
  <c r="BP8" i="65"/>
  <c r="BV13" i="65"/>
  <c r="BP11" i="65"/>
  <c r="BP9" i="65"/>
  <c r="CB10" i="65"/>
  <c r="BP7" i="65"/>
  <c r="BW11" i="65"/>
  <c r="BW9" i="65"/>
  <c r="BW10" i="65"/>
  <c r="BW8" i="65"/>
  <c r="BW13" i="65" s="1"/>
  <c r="BO29" i="65" s="1"/>
  <c r="CR12" i="65"/>
  <c r="CR11" i="65"/>
  <c r="DT9" i="65"/>
  <c r="DT8" i="65"/>
  <c r="CR10" i="65"/>
  <c r="CR9" i="65"/>
  <c r="CR8" i="65"/>
  <c r="BR7" i="65"/>
  <c r="T8" i="65"/>
  <c r="R13" i="65"/>
  <c r="M8" i="65"/>
  <c r="N8" i="65"/>
  <c r="S10" i="65"/>
  <c r="S8" i="65"/>
  <c r="L30" i="65"/>
  <c r="S11" i="65"/>
  <c r="S9" i="65"/>
  <c r="X11" i="65"/>
  <c r="L11" i="65"/>
  <c r="L9" i="65"/>
  <c r="L10" i="65"/>
  <c r="AL11" i="64"/>
  <c r="AG14" i="64"/>
  <c r="Y30" i="64" s="1"/>
  <c r="R10" i="64"/>
  <c r="K27" i="64" s="1"/>
  <c r="Z30" i="64"/>
  <c r="L26" i="64"/>
  <c r="S8" i="64"/>
  <c r="S10" i="64" s="1"/>
  <c r="K26" i="64" s="1"/>
  <c r="AM31" i="62" a="1"/>
  <c r="AM31" i="62" s="1"/>
  <c r="AN26" i="62"/>
  <c r="AZ10" i="62"/>
  <c r="X11" i="62"/>
  <c r="K35" i="62"/>
  <c r="K34" i="62"/>
  <c r="L35" i="62"/>
  <c r="L34" i="62"/>
  <c r="DM9" i="61"/>
  <c r="DM10" i="61"/>
  <c r="DM11" i="61"/>
  <c r="DM12" i="61"/>
  <c r="DM13" i="61"/>
  <c r="DM14" i="61"/>
  <c r="DM15" i="61"/>
  <c r="DM16" i="61"/>
  <c r="DM17" i="61"/>
  <c r="DM18" i="61"/>
  <c r="DM19" i="61"/>
  <c r="DM20" i="61"/>
  <c r="DM21" i="61"/>
  <c r="DM22" i="61"/>
  <c r="DM23" i="61"/>
  <c r="DM24" i="61"/>
  <c r="DM25" i="61"/>
  <c r="DM26" i="61"/>
  <c r="DM27" i="61"/>
  <c r="DM28" i="61"/>
  <c r="DM29" i="61"/>
  <c r="DM30" i="61"/>
  <c r="DM31" i="61"/>
  <c r="DM32" i="61"/>
  <c r="DM33" i="61"/>
  <c r="DM34" i="61"/>
  <c r="DM35" i="61"/>
  <c r="DM36" i="61"/>
  <c r="DM37" i="61"/>
  <c r="DM38" i="61"/>
  <c r="DL37" i="61"/>
  <c r="DL38" i="61" s="1"/>
  <c r="DL9" i="61"/>
  <c r="DL10" i="61" s="1"/>
  <c r="DL11" i="61" s="1"/>
  <c r="DL12" i="61" s="1"/>
  <c r="DL13" i="61" s="1"/>
  <c r="DL14" i="61" s="1"/>
  <c r="DL15" i="61" s="1"/>
  <c r="DL16" i="61" s="1"/>
  <c r="DL17" i="61" s="1"/>
  <c r="DL18" i="61" s="1"/>
  <c r="DL19" i="61" s="1"/>
  <c r="DL20" i="61" s="1"/>
  <c r="DL21" i="61" s="1"/>
  <c r="DL22" i="61" s="1"/>
  <c r="DL23" i="61" s="1"/>
  <c r="DL24" i="61" s="1"/>
  <c r="DL25" i="61" s="1"/>
  <c r="DL26" i="61" s="1"/>
  <c r="DL27" i="61" s="1"/>
  <c r="DL28" i="61" s="1"/>
  <c r="DL29" i="61" s="1"/>
  <c r="DL30" i="61" s="1"/>
  <c r="DL31" i="61" s="1"/>
  <c r="DL32" i="61" s="1"/>
  <c r="DL33" i="61" s="1"/>
  <c r="DL34" i="61" s="1"/>
  <c r="DL35" i="61" s="1"/>
  <c r="DL36" i="61" s="1"/>
  <c r="DL8" i="61"/>
  <c r="DM8" i="61" s="1"/>
  <c r="DI8" i="61"/>
  <c r="DI9" i="61"/>
  <c r="DI10" i="61"/>
  <c r="DI11" i="61"/>
  <c r="DI12" i="61"/>
  <c r="DH8" i="61"/>
  <c r="DH9" i="61"/>
  <c r="DH10" i="61"/>
  <c r="DH11" i="61"/>
  <c r="DH12" i="61"/>
  <c r="DG8" i="61"/>
  <c r="DG9" i="61"/>
  <c r="DG10" i="61"/>
  <c r="DG11" i="61"/>
  <c r="DG12" i="61"/>
  <c r="DF8" i="61"/>
  <c r="DF9" i="61"/>
  <c r="DF10" i="61"/>
  <c r="DF11" i="61"/>
  <c r="DF12" i="61"/>
  <c r="DE8" i="61"/>
  <c r="DE9" i="61"/>
  <c r="DE10" i="61"/>
  <c r="DE11" i="61"/>
  <c r="DE12" i="61"/>
  <c r="DD8" i="61"/>
  <c r="DD9" i="61"/>
  <c r="DD10" i="61"/>
  <c r="DD11" i="61"/>
  <c r="DD12" i="61"/>
  <c r="DC8" i="61"/>
  <c r="DC9" i="61"/>
  <c r="DC10" i="61"/>
  <c r="DC11" i="61"/>
  <c r="DC12" i="61"/>
  <c r="DB8" i="61"/>
  <c r="DB9" i="61"/>
  <c r="DB10" i="61"/>
  <c r="DB11" i="61"/>
  <c r="DB12" i="61"/>
  <c r="DA8" i="61"/>
  <c r="DA9" i="61"/>
  <c r="DA10" i="61"/>
  <c r="DA11" i="61"/>
  <c r="DA12" i="61"/>
  <c r="DF14" i="61"/>
  <c r="CY31" i="61" s="1"/>
  <c r="CZ31" i="61"/>
  <c r="DE14" i="61"/>
  <c r="DB31" i="61" s="1"/>
  <c r="DF7" i="61"/>
  <c r="DD7" i="61"/>
  <c r="DE7" i="61" s="1"/>
  <c r="DC7" i="61"/>
  <c r="DB7" i="61"/>
  <c r="DA7" i="61"/>
  <c r="BZ7" i="61"/>
  <c r="BZ8" i="61"/>
  <c r="BZ9" i="61"/>
  <c r="BZ10" i="61"/>
  <c r="BZ11" i="61"/>
  <c r="BZ12" i="61"/>
  <c r="BZ13" i="61"/>
  <c r="BZ14" i="61"/>
  <c r="BZ15" i="61"/>
  <c r="BZ16" i="61"/>
  <c r="BZ17" i="61"/>
  <c r="CA17" i="61" s="1"/>
  <c r="BW7" i="61"/>
  <c r="BW8" i="61"/>
  <c r="BW9" i="61"/>
  <c r="BW10" i="61"/>
  <c r="BW11" i="61"/>
  <c r="BW12" i="61"/>
  <c r="BW13" i="61"/>
  <c r="BW14" i="61"/>
  <c r="BW15" i="61"/>
  <c r="BW16" i="61"/>
  <c r="BW17" i="61"/>
  <c r="BZ19" i="61"/>
  <c r="BS36" i="61" s="1"/>
  <c r="CF9" i="61"/>
  <c r="AX7" i="61"/>
  <c r="AX8" i="61"/>
  <c r="AX9" i="61"/>
  <c r="AX10" i="61"/>
  <c r="AX11" i="61"/>
  <c r="AX12" i="61"/>
  <c r="AX13" i="61"/>
  <c r="AX14" i="61"/>
  <c r="AX15" i="61"/>
  <c r="AX16" i="61"/>
  <c r="AX17" i="61"/>
  <c r="AX18" i="61"/>
  <c r="AX19" i="61"/>
  <c r="AX20" i="61"/>
  <c r="AX21" i="61"/>
  <c r="AX22" i="61"/>
  <c r="AX23" i="61"/>
  <c r="AX24" i="61"/>
  <c r="AU7" i="61"/>
  <c r="AU8" i="61"/>
  <c r="AU9" i="61"/>
  <c r="AU10" i="61"/>
  <c r="AU11" i="61"/>
  <c r="AU12" i="61"/>
  <c r="AU13" i="61"/>
  <c r="AU14" i="61"/>
  <c r="AU15" i="61"/>
  <c r="AU16" i="61"/>
  <c r="AU17" i="61"/>
  <c r="AU18" i="61"/>
  <c r="AU19" i="61"/>
  <c r="AU20" i="61"/>
  <c r="AU21" i="61"/>
  <c r="AU22" i="61"/>
  <c r="AU23" i="61"/>
  <c r="AU24" i="61"/>
  <c r="BD9" i="61"/>
  <c r="BD10" i="61" s="1"/>
  <c r="DX8" i="65" l="1"/>
  <c r="DY8" i="65" s="1"/>
  <c r="EB8" i="65" s="1"/>
  <c r="DV8" i="65"/>
  <c r="DU8" i="65"/>
  <c r="DY11" i="65"/>
  <c r="DV28" i="65" s="1"/>
  <c r="DX9" i="65"/>
  <c r="DY9" i="65" s="1"/>
  <c r="EB9" i="65" s="1"/>
  <c r="DV9" i="65"/>
  <c r="DU9" i="65"/>
  <c r="AM27" i="65"/>
  <c r="AN26" i="65"/>
  <c r="DS28" i="65"/>
  <c r="DT27" i="65"/>
  <c r="DS32" i="65" s="1" a="1"/>
  <c r="EB11" i="65"/>
  <c r="DV27" i="65" s="1"/>
  <c r="AZ12" i="65"/>
  <c r="EF11" i="65"/>
  <c r="CS8" i="65"/>
  <c r="CV8" i="65"/>
  <c r="CW8" i="65" s="1"/>
  <c r="CZ8" i="65" s="1"/>
  <c r="CT8" i="65"/>
  <c r="CS10" i="65"/>
  <c r="CV10" i="65"/>
  <c r="CW10" i="65" s="1"/>
  <c r="CZ10" i="65" s="1"/>
  <c r="CT10" i="65"/>
  <c r="CS12" i="65"/>
  <c r="CV12" i="65"/>
  <c r="CW12" i="65" s="1"/>
  <c r="CZ12" i="65" s="1"/>
  <c r="CT12" i="65"/>
  <c r="CV9" i="65"/>
  <c r="CW9" i="65" s="1"/>
  <c r="CT9" i="65"/>
  <c r="CS9" i="65"/>
  <c r="CV11" i="65"/>
  <c r="CW11" i="65" s="1"/>
  <c r="CZ11" i="65" s="1"/>
  <c r="CT11" i="65"/>
  <c r="CS11" i="65"/>
  <c r="CR30" i="65"/>
  <c r="CQ31" i="65"/>
  <c r="CQ35" i="65" s="1" a="1"/>
  <c r="DD12" i="65"/>
  <c r="BO30" i="65"/>
  <c r="BP29" i="65"/>
  <c r="CB11" i="65"/>
  <c r="S13" i="65"/>
  <c r="K29" i="65" s="1"/>
  <c r="BT8" i="65"/>
  <c r="BU8" i="65" s="1"/>
  <c r="BR8" i="65"/>
  <c r="BQ8" i="65"/>
  <c r="BT11" i="65"/>
  <c r="BU11" i="65" s="1"/>
  <c r="BX11" i="65" s="1"/>
  <c r="BR11" i="65"/>
  <c r="BQ11" i="65"/>
  <c r="BT10" i="65"/>
  <c r="BU10" i="65" s="1"/>
  <c r="BX10" i="65" s="1"/>
  <c r="BR10" i="65"/>
  <c r="BQ10" i="65"/>
  <c r="BT9" i="65"/>
  <c r="BU9" i="65" s="1"/>
  <c r="BX9" i="65" s="1"/>
  <c r="BR9" i="65"/>
  <c r="BQ9" i="65"/>
  <c r="BT7" i="65"/>
  <c r="BU7" i="65" s="1"/>
  <c r="BX7" i="65" s="1"/>
  <c r="BQ7" i="65"/>
  <c r="P11" i="65"/>
  <c r="Q11" i="65" s="1"/>
  <c r="T11" i="65" s="1"/>
  <c r="N11" i="65"/>
  <c r="M11" i="65"/>
  <c r="P9" i="65"/>
  <c r="Q9" i="65" s="1"/>
  <c r="T9" i="65" s="1"/>
  <c r="N9" i="65"/>
  <c r="M9" i="65"/>
  <c r="P10" i="65"/>
  <c r="Q10" i="65" s="1"/>
  <c r="T10" i="65" s="1"/>
  <c r="N10" i="65"/>
  <c r="M10" i="65"/>
  <c r="K30" i="65"/>
  <c r="L29" i="65"/>
  <c r="K34" i="65" s="1" a="1"/>
  <c r="X12" i="65"/>
  <c r="AL12" i="64"/>
  <c r="AM32" i="62"/>
  <c r="AN32" i="62"/>
  <c r="AN31" i="62"/>
  <c r="AM36" i="62" s="1" a="1"/>
  <c r="AZ11" i="62"/>
  <c r="K39" i="62" a="1"/>
  <c r="K40" i="62" s="1"/>
  <c r="X12" i="62"/>
  <c r="K39" i="62"/>
  <c r="K43" i="62" s="1"/>
  <c r="DH14" i="61"/>
  <c r="DB30" i="61" s="1"/>
  <c r="CZ30" i="61"/>
  <c r="DH7" i="61"/>
  <c r="DG7" i="61"/>
  <c r="DG14" i="61"/>
  <c r="CY30" i="61" s="1"/>
  <c r="CA16" i="61"/>
  <c r="CA14" i="61"/>
  <c r="CA12" i="61"/>
  <c r="CA10" i="61"/>
  <c r="CA8" i="61"/>
  <c r="CA15" i="61"/>
  <c r="CA13" i="61"/>
  <c r="CA11" i="61"/>
  <c r="CA9" i="61"/>
  <c r="CA7" i="61"/>
  <c r="CA19" i="61" s="1"/>
  <c r="BS35" i="61" s="1"/>
  <c r="BT35" i="61"/>
  <c r="CF10" i="61"/>
  <c r="AX26" i="61"/>
  <c r="AQ43" i="61" s="1"/>
  <c r="AY24" i="61"/>
  <c r="AY22" i="61"/>
  <c r="AY20" i="61"/>
  <c r="AY18" i="61"/>
  <c r="AY16" i="61"/>
  <c r="AY14" i="61"/>
  <c r="AY12" i="61"/>
  <c r="AY10" i="61"/>
  <c r="AY8" i="61"/>
  <c r="AY23" i="61"/>
  <c r="AY21" i="61"/>
  <c r="AY19" i="61"/>
  <c r="AY17" i="61"/>
  <c r="AY15" i="61"/>
  <c r="AY13" i="61"/>
  <c r="AY11" i="61"/>
  <c r="AY9" i="61"/>
  <c r="AY7" i="61"/>
  <c r="AR42" i="61"/>
  <c r="BD11" i="61"/>
  <c r="Y13" i="72"/>
  <c r="X15" i="61"/>
  <c r="X16" i="61" s="1"/>
  <c r="AN9" i="61"/>
  <c r="AN7" i="61" s="1"/>
  <c r="R15" i="61"/>
  <c r="R16" i="61"/>
  <c r="S16" i="61" s="1"/>
  <c r="R17" i="61"/>
  <c r="S17" i="61" s="1"/>
  <c r="R18" i="61"/>
  <c r="S18" i="61" s="1"/>
  <c r="R19" i="61"/>
  <c r="S19" i="61" s="1"/>
  <c r="R20" i="61"/>
  <c r="S20" i="61" s="1"/>
  <c r="R21" i="61"/>
  <c r="S21" i="61" s="1"/>
  <c r="R22" i="61"/>
  <c r="S22" i="61" s="1"/>
  <c r="R23" i="61"/>
  <c r="S23" i="61" s="1"/>
  <c r="R24" i="61"/>
  <c r="S24" i="61" s="1"/>
  <c r="R25" i="61"/>
  <c r="S25" i="61" s="1"/>
  <c r="R26" i="61"/>
  <c r="S26" i="61" s="1"/>
  <c r="R27" i="61"/>
  <c r="S27" i="61" s="1"/>
  <c r="R28" i="61"/>
  <c r="S28" i="61" s="1"/>
  <c r="R29" i="61"/>
  <c r="S29" i="61" s="1"/>
  <c r="R30" i="61"/>
  <c r="S30" i="61" s="1"/>
  <c r="R31" i="61"/>
  <c r="S31" i="61" s="1"/>
  <c r="R32" i="61"/>
  <c r="S32" i="61" s="1"/>
  <c r="O15" i="61"/>
  <c r="O16" i="61"/>
  <c r="O17" i="61"/>
  <c r="O18" i="61"/>
  <c r="O19" i="61"/>
  <c r="O20" i="61"/>
  <c r="O21" i="61"/>
  <c r="O22" i="61"/>
  <c r="O23" i="61"/>
  <c r="O24" i="61"/>
  <c r="O25" i="61"/>
  <c r="O26" i="61"/>
  <c r="O27" i="61"/>
  <c r="O28" i="61"/>
  <c r="O29" i="61"/>
  <c r="O30" i="61"/>
  <c r="O31" i="61"/>
  <c r="O32" i="61"/>
  <c r="R12" i="61"/>
  <c r="S12" i="61" s="1"/>
  <c r="R13" i="61"/>
  <c r="S13" i="61" s="1"/>
  <c r="O12" i="61"/>
  <c r="O13" i="61"/>
  <c r="R14" i="61"/>
  <c r="O14" i="61"/>
  <c r="CC23" i="72"/>
  <c r="CC8" i="72"/>
  <c r="CC9" i="72"/>
  <c r="CC10" i="72"/>
  <c r="CC11" i="72"/>
  <c r="CC12" i="72"/>
  <c r="CC13" i="72"/>
  <c r="CC14" i="72"/>
  <c r="CC15" i="72"/>
  <c r="CC16" i="72"/>
  <c r="CC17" i="72"/>
  <c r="CC18" i="72"/>
  <c r="CC19" i="72"/>
  <c r="CC20" i="72"/>
  <c r="CC21" i="72"/>
  <c r="CC22" i="72"/>
  <c r="CC24" i="72"/>
  <c r="CC25" i="72"/>
  <c r="CC26" i="72"/>
  <c r="CC27" i="72"/>
  <c r="CC28" i="72"/>
  <c r="CC29" i="72"/>
  <c r="CC30" i="72"/>
  <c r="CC31" i="72"/>
  <c r="CC32" i="72"/>
  <c r="CC33" i="72"/>
  <c r="CC34" i="72"/>
  <c r="CC35" i="72"/>
  <c r="CC36" i="72"/>
  <c r="CC37" i="72"/>
  <c r="CC7" i="72"/>
  <c r="BY8" i="72"/>
  <c r="BY9" i="72"/>
  <c r="BY10" i="72"/>
  <c r="BY11" i="72"/>
  <c r="BY12" i="72"/>
  <c r="BX8" i="72"/>
  <c r="BX9" i="72"/>
  <c r="BX10" i="72"/>
  <c r="BX14" i="72" s="1"/>
  <c r="BX11" i="72"/>
  <c r="BX12" i="72"/>
  <c r="BW14" i="72"/>
  <c r="BW8" i="72"/>
  <c r="BW9" i="72"/>
  <c r="BW10" i="72"/>
  <c r="BW11" i="72"/>
  <c r="BW12" i="72"/>
  <c r="BV14" i="72"/>
  <c r="BV8" i="72"/>
  <c r="BV9" i="72"/>
  <c r="BV10" i="72"/>
  <c r="BV11" i="72"/>
  <c r="BV12" i="72"/>
  <c r="BU14" i="72"/>
  <c r="BU8" i="72"/>
  <c r="BU9" i="72"/>
  <c r="BU10" i="72"/>
  <c r="BU11" i="72"/>
  <c r="BU12" i="72"/>
  <c r="BT8" i="72"/>
  <c r="BT9" i="72"/>
  <c r="BT10" i="72"/>
  <c r="BT11" i="72"/>
  <c r="BT12" i="72"/>
  <c r="BS8" i="72"/>
  <c r="BS9" i="72"/>
  <c r="BS10" i="72"/>
  <c r="BS11" i="72"/>
  <c r="BS12" i="72"/>
  <c r="BR8" i="72"/>
  <c r="BR9" i="72"/>
  <c r="BR10" i="72"/>
  <c r="BR11" i="72"/>
  <c r="BR12" i="72"/>
  <c r="BQ8" i="72"/>
  <c r="BQ9" i="72"/>
  <c r="BQ10" i="72"/>
  <c r="BQ11" i="72"/>
  <c r="BQ12" i="72"/>
  <c r="BP14" i="72"/>
  <c r="BP8" i="72" s="1"/>
  <c r="BP11" i="72"/>
  <c r="CB7" i="72"/>
  <c r="BY7" i="72"/>
  <c r="BV7" i="72"/>
  <c r="BS7" i="72"/>
  <c r="BA12" i="72"/>
  <c r="BA13" i="72"/>
  <c r="BA14" i="72"/>
  <c r="BA15" i="72"/>
  <c r="BA16" i="72"/>
  <c r="BA17" i="72"/>
  <c r="BA18" i="72"/>
  <c r="BA19" i="72"/>
  <c r="BA20" i="72"/>
  <c r="BA21" i="72"/>
  <c r="BA22" i="72"/>
  <c r="BA23" i="72"/>
  <c r="BA24" i="72"/>
  <c r="BA25" i="72"/>
  <c r="BA26" i="72"/>
  <c r="BA27" i="72"/>
  <c r="BA28" i="72"/>
  <c r="BA29" i="72"/>
  <c r="BA30" i="72"/>
  <c r="BA31" i="72"/>
  <c r="BA32" i="72"/>
  <c r="BA33" i="72"/>
  <c r="BA34" i="72"/>
  <c r="BA35" i="72"/>
  <c r="BA36" i="72"/>
  <c r="BA37" i="72"/>
  <c r="BA8" i="72"/>
  <c r="BA9" i="72"/>
  <c r="BA10" i="72"/>
  <c r="BA11" i="72"/>
  <c r="BA7" i="72"/>
  <c r="AM28" i="72"/>
  <c r="AP29" i="72"/>
  <c r="AN29" i="72"/>
  <c r="AM29" i="72"/>
  <c r="AP28" i="72"/>
  <c r="AN28" i="72"/>
  <c r="AM33" i="72" a="1"/>
  <c r="AV12" i="72"/>
  <c r="AU12" i="72"/>
  <c r="AT12" i="72"/>
  <c r="AS12" i="72"/>
  <c r="AZ25" i="72"/>
  <c r="AZ26" i="72"/>
  <c r="AZ27" i="72"/>
  <c r="AZ28" i="72"/>
  <c r="AZ29" i="72" s="1"/>
  <c r="AZ30" i="72" s="1"/>
  <c r="AZ31" i="72" s="1"/>
  <c r="AZ32" i="72" s="1"/>
  <c r="AZ33" i="72" s="1"/>
  <c r="AZ34" i="72" s="1"/>
  <c r="AZ8" i="72"/>
  <c r="AZ9" i="72" s="1"/>
  <c r="AZ10" i="72" s="1"/>
  <c r="AZ11" i="72" s="1"/>
  <c r="AZ12" i="72" s="1"/>
  <c r="AZ13" i="72" s="1"/>
  <c r="AZ14" i="72" s="1"/>
  <c r="AZ15" i="72" s="1"/>
  <c r="AZ16" i="72" s="1"/>
  <c r="AZ17" i="72" s="1"/>
  <c r="AZ18" i="72" s="1"/>
  <c r="AZ19" i="72" s="1"/>
  <c r="AZ20" i="72" s="1"/>
  <c r="AZ21" i="72" s="1"/>
  <c r="AZ22" i="72" s="1"/>
  <c r="AZ23" i="72" s="1"/>
  <c r="AZ24" i="72" s="1"/>
  <c r="AZ7" i="72"/>
  <c r="AW8" i="72"/>
  <c r="AW9" i="72"/>
  <c r="AW10" i="72"/>
  <c r="AV8" i="72"/>
  <c r="AV9" i="72"/>
  <c r="AV10" i="72"/>
  <c r="AU8" i="72"/>
  <c r="AU9" i="72"/>
  <c r="AU10" i="72"/>
  <c r="AT8" i="72"/>
  <c r="AT9" i="72"/>
  <c r="AT10" i="72"/>
  <c r="AS8" i="72"/>
  <c r="AS9" i="72"/>
  <c r="AS10" i="72"/>
  <c r="AR8" i="72"/>
  <c r="AR9" i="72"/>
  <c r="AR10" i="72"/>
  <c r="AQ8" i="72"/>
  <c r="AQ9" i="72"/>
  <c r="AQ10" i="72"/>
  <c r="AP8" i="72"/>
  <c r="AP9" i="72"/>
  <c r="AP10" i="72"/>
  <c r="AO8" i="72"/>
  <c r="AO9" i="72"/>
  <c r="AO10" i="72"/>
  <c r="AN12" i="72"/>
  <c r="L36" i="72"/>
  <c r="AU7" i="72"/>
  <c r="AT7" i="72"/>
  <c r="AQ7" i="72"/>
  <c r="DS33" i="65" l="1"/>
  <c r="DT33" i="65"/>
  <c r="DS32" i="65"/>
  <c r="DT32" i="65"/>
  <c r="AZ13" i="65"/>
  <c r="EF12" i="65"/>
  <c r="CQ36" i="65"/>
  <c r="CQ35" i="65"/>
  <c r="CR35" i="65"/>
  <c r="CR36" i="65"/>
  <c r="CW14" i="65"/>
  <c r="CT31" i="65" s="1"/>
  <c r="CZ9" i="65"/>
  <c r="CZ14" i="65" s="1"/>
  <c r="CT30" i="65" s="1"/>
  <c r="CQ40" i="65" s="1" a="1"/>
  <c r="CQ41" i="65" s="1"/>
  <c r="DD13" i="65"/>
  <c r="BX8" i="65"/>
  <c r="BX13" i="65" s="1"/>
  <c r="BR29" i="65" s="1"/>
  <c r="BU13" i="65"/>
  <c r="BR30" i="65" s="1"/>
  <c r="CB12" i="65"/>
  <c r="K34" i="65"/>
  <c r="K35" i="65"/>
  <c r="L35" i="65"/>
  <c r="L34" i="65"/>
  <c r="X13" i="65"/>
  <c r="AL13" i="64"/>
  <c r="AM37" i="62"/>
  <c r="AM39" i="62" s="1"/>
  <c r="AM36" i="62"/>
  <c r="AM40" i="62" s="1"/>
  <c r="AZ12" i="62"/>
  <c r="K42" i="62"/>
  <c r="X13" i="62"/>
  <c r="CY35" i="61" a="1"/>
  <c r="CZ35" i="61" s="1"/>
  <c r="CF11" i="61"/>
  <c r="AY26" i="61"/>
  <c r="AQ42" i="61" s="1"/>
  <c r="BD12" i="61"/>
  <c r="X17" i="61"/>
  <c r="R34" i="61"/>
  <c r="L50" i="61" s="1"/>
  <c r="S15" i="61"/>
  <c r="S14" i="61"/>
  <c r="BP31" i="72"/>
  <c r="BP10" i="72"/>
  <c r="BP7" i="72"/>
  <c r="BP9" i="72"/>
  <c r="BP12" i="72"/>
  <c r="BP30" i="72"/>
  <c r="CB8" i="72"/>
  <c r="BW7" i="72"/>
  <c r="AM33" i="72"/>
  <c r="AN34" i="72"/>
  <c r="AM34" i="72"/>
  <c r="AN33" i="72"/>
  <c r="AZ35" i="72"/>
  <c r="AZ36" i="72" s="1"/>
  <c r="AZ37" i="72" s="1"/>
  <c r="X15" i="72"/>
  <c r="DS37" i="65" l="1" a="1"/>
  <c r="AZ14" i="65"/>
  <c r="EF13" i="65"/>
  <c r="CQ40" i="65"/>
  <c r="CQ44" i="65" s="1"/>
  <c r="DD14" i="65"/>
  <c r="CB13" i="65"/>
  <c r="X14" i="65"/>
  <c r="AL14" i="64"/>
  <c r="AZ13" i="62"/>
  <c r="X14" i="62"/>
  <c r="CY36" i="61"/>
  <c r="CY35" i="61"/>
  <c r="CZ36" i="61"/>
  <c r="S34" i="61"/>
  <c r="K50" i="61" s="1"/>
  <c r="CF12" i="61"/>
  <c r="K51" i="61"/>
  <c r="BD13" i="61"/>
  <c r="X18" i="61"/>
  <c r="BO31" i="72"/>
  <c r="BQ7" i="72"/>
  <c r="BT7" i="72"/>
  <c r="BU7" i="72" s="1"/>
  <c r="BX7" i="72" s="1"/>
  <c r="BR7" i="72"/>
  <c r="BO30" i="72"/>
  <c r="BO35" i="72" s="1" a="1"/>
  <c r="CB9" i="72"/>
  <c r="AM38" i="72" a="1"/>
  <c r="X16" i="72"/>
  <c r="R15" i="72"/>
  <c r="R16" i="72"/>
  <c r="R17" i="72"/>
  <c r="R18" i="72"/>
  <c r="R19" i="72"/>
  <c r="R20" i="72"/>
  <c r="R21" i="72"/>
  <c r="R22" i="72"/>
  <c r="R23" i="72"/>
  <c r="R24" i="72"/>
  <c r="R25" i="72"/>
  <c r="R26" i="72"/>
  <c r="R27" i="72"/>
  <c r="R28" i="72"/>
  <c r="R29" i="72"/>
  <c r="R30" i="72"/>
  <c r="R31" i="72"/>
  <c r="R32" i="72"/>
  <c r="R33" i="72"/>
  <c r="R34" i="72"/>
  <c r="O15" i="72"/>
  <c r="O16" i="72"/>
  <c r="O17" i="72"/>
  <c r="O18" i="72"/>
  <c r="O19" i="72"/>
  <c r="O20" i="72"/>
  <c r="O21" i="72"/>
  <c r="O22" i="72"/>
  <c r="O23" i="72"/>
  <c r="O24" i="72"/>
  <c r="O25" i="72"/>
  <c r="O26" i="72"/>
  <c r="O27" i="72"/>
  <c r="O28" i="72"/>
  <c r="O29" i="72"/>
  <c r="O30" i="72"/>
  <c r="O31" i="72"/>
  <c r="O32" i="72"/>
  <c r="O33" i="72"/>
  <c r="O34" i="72"/>
  <c r="R14" i="72"/>
  <c r="O14" i="72"/>
  <c r="L14" i="72"/>
  <c r="P14" i="72" s="1"/>
  <c r="Q14" i="72" s="1"/>
  <c r="F49" i="72"/>
  <c r="B49" i="72"/>
  <c r="E48" i="72"/>
  <c r="B48" i="72"/>
  <c r="F47" i="72"/>
  <c r="E47" i="72"/>
  <c r="B47" i="72"/>
  <c r="F46" i="72"/>
  <c r="B46" i="72"/>
  <c r="F45" i="72"/>
  <c r="B45" i="72"/>
  <c r="F44" i="72"/>
  <c r="B44" i="72"/>
  <c r="F43" i="72"/>
  <c r="B43" i="72"/>
  <c r="F42" i="72"/>
  <c r="B42" i="72"/>
  <c r="B41" i="72"/>
  <c r="F40" i="72"/>
  <c r="B40" i="72"/>
  <c r="F39" i="72"/>
  <c r="B39" i="72"/>
  <c r="F38" i="72"/>
  <c r="B38" i="72"/>
  <c r="F37" i="72"/>
  <c r="B37" i="72"/>
  <c r="B36" i="72"/>
  <c r="F35" i="72"/>
  <c r="B35" i="72"/>
  <c r="F34" i="72"/>
  <c r="B34" i="72"/>
  <c r="F33" i="72"/>
  <c r="B33" i="72"/>
  <c r="F32" i="72"/>
  <c r="B32" i="72"/>
  <c r="F31" i="72"/>
  <c r="B31" i="72"/>
  <c r="F30" i="72"/>
  <c r="B30" i="72"/>
  <c r="F29" i="72"/>
  <c r="E29" i="72"/>
  <c r="B29" i="72"/>
  <c r="F28" i="72"/>
  <c r="B28" i="72"/>
  <c r="F27" i="72"/>
  <c r="B27" i="72"/>
  <c r="F26" i="72"/>
  <c r="B26" i="72"/>
  <c r="F25" i="72"/>
  <c r="B25" i="72"/>
  <c r="F24" i="72"/>
  <c r="B24" i="72"/>
  <c r="F23" i="72"/>
  <c r="B23" i="72"/>
  <c r="F22" i="72"/>
  <c r="B22" i="72"/>
  <c r="F21" i="72"/>
  <c r="B21" i="72"/>
  <c r="F20" i="72"/>
  <c r="B20" i="72"/>
  <c r="F19" i="72"/>
  <c r="B19" i="72"/>
  <c r="F18" i="72"/>
  <c r="B18" i="72"/>
  <c r="F17" i="72"/>
  <c r="B17" i="72"/>
  <c r="F16" i="72"/>
  <c r="B16" i="72"/>
  <c r="F15" i="72"/>
  <c r="B15" i="72"/>
  <c r="F14" i="72"/>
  <c r="B14" i="72"/>
  <c r="F13" i="72"/>
  <c r="B13" i="72"/>
  <c r="F12" i="72"/>
  <c r="B12" i="72"/>
  <c r="F11" i="72"/>
  <c r="B11" i="72"/>
  <c r="F10" i="72"/>
  <c r="B10" i="72"/>
  <c r="F9" i="72"/>
  <c r="B9" i="72"/>
  <c r="F8" i="72"/>
  <c r="B8" i="72"/>
  <c r="F7" i="72"/>
  <c r="B7" i="72"/>
  <c r="B6" i="72"/>
  <c r="DS37" i="65" l="1"/>
  <c r="DS41" i="65" s="1"/>
  <c r="DS38" i="65"/>
  <c r="DS40" i="65" s="1"/>
  <c r="AZ15" i="65"/>
  <c r="EF14" i="65"/>
  <c r="DE14" i="65"/>
  <c r="CQ43" i="65"/>
  <c r="DD15" i="65"/>
  <c r="DE15" i="65" s="1"/>
  <c r="CB14" i="65"/>
  <c r="X15" i="65"/>
  <c r="AL15" i="64"/>
  <c r="AZ14" i="62"/>
  <c r="X15" i="62"/>
  <c r="CY40" i="61" a="1"/>
  <c r="CF13" i="61"/>
  <c r="BD14" i="61"/>
  <c r="X19" i="61"/>
  <c r="BR30" i="72"/>
  <c r="BR31" i="72"/>
  <c r="CB10" i="72"/>
  <c r="BO36" i="72"/>
  <c r="BP35" i="72"/>
  <c r="BO35" i="72"/>
  <c r="BP36" i="72"/>
  <c r="AM39" i="72"/>
  <c r="AM38" i="72"/>
  <c r="AM42" i="72" s="1"/>
  <c r="X17" i="72"/>
  <c r="N14" i="72"/>
  <c r="R36" i="72"/>
  <c r="L52" i="72" s="1"/>
  <c r="M14" i="72"/>
  <c r="S34" i="72"/>
  <c r="S30" i="72"/>
  <c r="S26" i="72"/>
  <c r="S22" i="72"/>
  <c r="S18" i="72"/>
  <c r="S33" i="72"/>
  <c r="S29" i="72"/>
  <c r="S25" i="72"/>
  <c r="S21" i="72"/>
  <c r="S17" i="72"/>
  <c r="S32" i="72"/>
  <c r="S28" i="72"/>
  <c r="S24" i="72"/>
  <c r="S20" i="72"/>
  <c r="S16" i="72"/>
  <c r="S31" i="72"/>
  <c r="S27" i="72"/>
  <c r="S23" i="72"/>
  <c r="S19" i="72"/>
  <c r="S15" i="72"/>
  <c r="L53" i="72"/>
  <c r="T14" i="72"/>
  <c r="S14" i="72"/>
  <c r="L33" i="72"/>
  <c r="P33" i="72" s="1"/>
  <c r="Q33" i="72" s="1"/>
  <c r="T33" i="72" s="1"/>
  <c r="L29" i="72"/>
  <c r="P29" i="72" s="1"/>
  <c r="Q29" i="72" s="1"/>
  <c r="T29" i="72" s="1"/>
  <c r="L25" i="72"/>
  <c r="P25" i="72" s="1"/>
  <c r="Q25" i="72" s="1"/>
  <c r="T25" i="72" s="1"/>
  <c r="L21" i="72"/>
  <c r="P21" i="72" s="1"/>
  <c r="Q21" i="72" s="1"/>
  <c r="T21" i="72" s="1"/>
  <c r="L17" i="72"/>
  <c r="P17" i="72" s="1"/>
  <c r="Q17" i="72" s="1"/>
  <c r="T17" i="72" s="1"/>
  <c r="L32" i="72"/>
  <c r="P32" i="72" s="1"/>
  <c r="Q32" i="72" s="1"/>
  <c r="T32" i="72" s="1"/>
  <c r="L28" i="72"/>
  <c r="P28" i="72" s="1"/>
  <c r="Q28" i="72" s="1"/>
  <c r="T28" i="72" s="1"/>
  <c r="L24" i="72"/>
  <c r="P24" i="72" s="1"/>
  <c r="Q24" i="72" s="1"/>
  <c r="T24" i="72" s="1"/>
  <c r="L20" i="72"/>
  <c r="P20" i="72" s="1"/>
  <c r="Q20" i="72" s="1"/>
  <c r="T20" i="72" s="1"/>
  <c r="L16" i="72"/>
  <c r="P16" i="72" s="1"/>
  <c r="Q16" i="72" s="1"/>
  <c r="T16" i="72" s="1"/>
  <c r="L31" i="72"/>
  <c r="P31" i="72" s="1"/>
  <c r="Q31" i="72" s="1"/>
  <c r="T31" i="72" s="1"/>
  <c r="L27" i="72"/>
  <c r="P27" i="72" s="1"/>
  <c r="Q27" i="72" s="1"/>
  <c r="T27" i="72" s="1"/>
  <c r="L23" i="72"/>
  <c r="P23" i="72" s="1"/>
  <c r="Q23" i="72" s="1"/>
  <c r="T23" i="72" s="1"/>
  <c r="L19" i="72"/>
  <c r="P19" i="72" s="1"/>
  <c r="Q19" i="72" s="1"/>
  <c r="T19" i="72" s="1"/>
  <c r="L15" i="72"/>
  <c r="P15" i="72" s="1"/>
  <c r="Q15" i="72" s="1"/>
  <c r="L34" i="72"/>
  <c r="P34" i="72" s="1"/>
  <c r="Q34" i="72" s="1"/>
  <c r="T34" i="72" s="1"/>
  <c r="L30" i="72"/>
  <c r="P30" i="72" s="1"/>
  <c r="Q30" i="72" s="1"/>
  <c r="T30" i="72" s="1"/>
  <c r="L26" i="72"/>
  <c r="P26" i="72" s="1"/>
  <c r="Q26" i="72" s="1"/>
  <c r="T26" i="72" s="1"/>
  <c r="L22" i="72"/>
  <c r="P22" i="72" s="1"/>
  <c r="Q22" i="72" s="1"/>
  <c r="T22" i="72" s="1"/>
  <c r="L18" i="72"/>
  <c r="P18" i="72" s="1"/>
  <c r="Q18" i="72" s="1"/>
  <c r="T18" i="72" s="1"/>
  <c r="BB8" i="71"/>
  <c r="BB9" i="71"/>
  <c r="BB10" i="71"/>
  <c r="BB11" i="71"/>
  <c r="BB12" i="71"/>
  <c r="BB13" i="71"/>
  <c r="BB14" i="71"/>
  <c r="BB15" i="71"/>
  <c r="BB16" i="71"/>
  <c r="BB17" i="71"/>
  <c r="BB18" i="71"/>
  <c r="BB19" i="71"/>
  <c r="BB20" i="71"/>
  <c r="BB21" i="71"/>
  <c r="BB22" i="71"/>
  <c r="BB23" i="71"/>
  <c r="BB24" i="71"/>
  <c r="BB25" i="71"/>
  <c r="BB26" i="71"/>
  <c r="BB27" i="71"/>
  <c r="BB28" i="71"/>
  <c r="BB29" i="71"/>
  <c r="BB30" i="71"/>
  <c r="BB31" i="71"/>
  <c r="BB32" i="71"/>
  <c r="BB33" i="71"/>
  <c r="BB7" i="71"/>
  <c r="BB35" i="71"/>
  <c r="AV24" i="71"/>
  <c r="AV8" i="71" s="1"/>
  <c r="EG14" i="65" l="1"/>
  <c r="EG8" i="65"/>
  <c r="EC8" i="65"/>
  <c r="EG7" i="65"/>
  <c r="EC9" i="65"/>
  <c r="EC7" i="65"/>
  <c r="EG9" i="65"/>
  <c r="EG10" i="65"/>
  <c r="EG11" i="65"/>
  <c r="EG12" i="65"/>
  <c r="EG13" i="65"/>
  <c r="AZ16" i="65"/>
  <c r="EF15" i="65"/>
  <c r="EG15" i="65" s="1"/>
  <c r="DA7" i="65"/>
  <c r="DE8" i="65"/>
  <c r="DA8" i="65"/>
  <c r="DA10" i="65"/>
  <c r="DA12" i="65"/>
  <c r="DE7" i="65"/>
  <c r="DA9" i="65"/>
  <c r="DA11" i="65"/>
  <c r="DE10" i="65"/>
  <c r="DE9" i="65"/>
  <c r="DE11" i="65"/>
  <c r="DE12" i="65"/>
  <c r="DE13" i="65"/>
  <c r="DD16" i="65"/>
  <c r="DE16" i="65" s="1"/>
  <c r="CB15" i="65"/>
  <c r="X16" i="65"/>
  <c r="AL16" i="64"/>
  <c r="AZ15" i="62"/>
  <c r="X16" i="62"/>
  <c r="CY40" i="61"/>
  <c r="CY44" i="61" s="1"/>
  <c r="CY41" i="61"/>
  <c r="CF14" i="61"/>
  <c r="BD15" i="61"/>
  <c r="X20" i="61"/>
  <c r="BO40" i="72" a="1"/>
  <c r="CB11" i="72"/>
  <c r="AM41" i="72"/>
  <c r="K53" i="72"/>
  <c r="X18" i="72"/>
  <c r="Q36" i="72"/>
  <c r="T15" i="72"/>
  <c r="T36" i="72" s="1"/>
  <c r="S36" i="72"/>
  <c r="K52" i="72" s="1"/>
  <c r="K57" i="72" s="1" a="1"/>
  <c r="N18" i="72"/>
  <c r="M18" i="72"/>
  <c r="N34" i="72"/>
  <c r="M34" i="72"/>
  <c r="M27" i="72"/>
  <c r="N27" i="72"/>
  <c r="M24" i="72"/>
  <c r="N24" i="72"/>
  <c r="N21" i="72"/>
  <c r="M21" i="72"/>
  <c r="N22" i="72"/>
  <c r="M22" i="72"/>
  <c r="M15" i="72"/>
  <c r="N15" i="72"/>
  <c r="M31" i="72"/>
  <c r="N31" i="72"/>
  <c r="M28" i="72"/>
  <c r="N28" i="72"/>
  <c r="N25" i="72"/>
  <c r="M25" i="72"/>
  <c r="N26" i="72"/>
  <c r="M26" i="72"/>
  <c r="M19" i="72"/>
  <c r="N19" i="72"/>
  <c r="M16" i="72"/>
  <c r="N16" i="72"/>
  <c r="M32" i="72"/>
  <c r="N32" i="72"/>
  <c r="N29" i="72"/>
  <c r="M29" i="72"/>
  <c r="N30" i="72"/>
  <c r="M30" i="72"/>
  <c r="M23" i="72"/>
  <c r="N23" i="72"/>
  <c r="M20" i="72"/>
  <c r="N20" i="72"/>
  <c r="N17" i="72"/>
  <c r="M17" i="72"/>
  <c r="N33" i="72"/>
  <c r="M33" i="72"/>
  <c r="AV7" i="71"/>
  <c r="AV19" i="71"/>
  <c r="AV15" i="71"/>
  <c r="AV11" i="71"/>
  <c r="AV21" i="71"/>
  <c r="AV17" i="71"/>
  <c r="AV13" i="71"/>
  <c r="AV9" i="71"/>
  <c r="AV22" i="71"/>
  <c r="AV20" i="71"/>
  <c r="AV18" i="71"/>
  <c r="AV16" i="71"/>
  <c r="AV14" i="71"/>
  <c r="AV12" i="71"/>
  <c r="AV10" i="71"/>
  <c r="AY19" i="71"/>
  <c r="AY8" i="71" s="1"/>
  <c r="B15" i="71"/>
  <c r="AP7" i="71"/>
  <c r="AK7" i="71"/>
  <c r="AO6" i="71"/>
  <c r="AK6" i="71"/>
  <c r="AO44" i="71"/>
  <c r="AK44" i="71"/>
  <c r="AP44" i="71" s="1"/>
  <c r="AK43" i="71"/>
  <c r="AK42" i="71"/>
  <c r="AP42" i="71" s="1"/>
  <c r="AK41" i="71"/>
  <c r="AK38" i="71"/>
  <c r="AK40" i="71"/>
  <c r="AK39" i="71"/>
  <c r="AK46" i="71"/>
  <c r="AK49" i="71"/>
  <c r="AP49" i="71" s="1"/>
  <c r="AK48" i="71"/>
  <c r="AK47" i="71"/>
  <c r="AK45" i="71"/>
  <c r="AK36" i="71"/>
  <c r="AK24" i="71"/>
  <c r="AK23" i="71"/>
  <c r="AP23" i="71" s="1"/>
  <c r="AK22" i="71"/>
  <c r="AK21" i="71"/>
  <c r="AK35" i="71"/>
  <c r="AO34" i="71"/>
  <c r="AK34" i="71"/>
  <c r="AK33" i="71"/>
  <c r="AK20" i="71"/>
  <c r="AK32" i="71"/>
  <c r="AK19" i="71"/>
  <c r="AK18" i="71"/>
  <c r="AP18" i="71" s="1"/>
  <c r="AK17" i="71"/>
  <c r="AK16" i="71"/>
  <c r="AK31" i="71"/>
  <c r="AK15" i="71"/>
  <c r="AP15" i="71" s="1"/>
  <c r="AK14" i="71"/>
  <c r="AK30" i="71"/>
  <c r="AK13" i="71"/>
  <c r="AK37" i="71"/>
  <c r="AK12" i="71"/>
  <c r="AK29" i="71"/>
  <c r="AK11" i="71"/>
  <c r="AK28" i="71"/>
  <c r="AK10" i="71"/>
  <c r="AK9" i="71"/>
  <c r="AK27" i="71"/>
  <c r="AK26" i="71"/>
  <c r="AK8" i="71"/>
  <c r="AK25" i="71"/>
  <c r="AZ17" i="65" l="1"/>
  <c r="EF16" i="65"/>
  <c r="EG16" i="65" s="1"/>
  <c r="DD17" i="65"/>
  <c r="DE17" i="65" s="1"/>
  <c r="CB16" i="65"/>
  <c r="X17" i="65"/>
  <c r="AL17" i="64"/>
  <c r="AZ16" i="62"/>
  <c r="X17" i="62"/>
  <c r="CY43" i="61"/>
  <c r="CF15" i="61"/>
  <c r="BD16" i="61"/>
  <c r="X21" i="61"/>
  <c r="CB12" i="72"/>
  <c r="BO41" i="72"/>
  <c r="BO40" i="72"/>
  <c r="BO44" i="72" s="1"/>
  <c r="X19" i="72"/>
  <c r="K58" i="72"/>
  <c r="L58" i="72"/>
  <c r="K57" i="72"/>
  <c r="L57" i="72"/>
  <c r="N52" i="72"/>
  <c r="N53" i="72"/>
  <c r="AY17" i="71"/>
  <c r="AY15" i="71"/>
  <c r="AY13" i="71"/>
  <c r="AY11" i="71"/>
  <c r="AY9" i="71"/>
  <c r="AY7" i="71"/>
  <c r="AY16" i="71"/>
  <c r="AY14" i="71"/>
  <c r="AY12" i="71"/>
  <c r="AY10" i="71"/>
  <c r="AP27" i="71"/>
  <c r="AP10" i="71"/>
  <c r="AP11" i="71"/>
  <c r="AP12" i="71"/>
  <c r="AP13" i="71"/>
  <c r="AP14" i="71"/>
  <c r="AP31" i="71"/>
  <c r="AP17" i="71"/>
  <c r="AP19" i="71"/>
  <c r="AP20" i="71"/>
  <c r="AP34" i="71"/>
  <c r="AP35" i="71"/>
  <c r="AP22" i="71"/>
  <c r="AP24" i="71"/>
  <c r="AP48" i="71"/>
  <c r="AP46" i="71"/>
  <c r="AP40" i="71"/>
  <c r="AP41" i="71"/>
  <c r="AP43" i="71"/>
  <c r="AP26" i="71"/>
  <c r="AP9" i="71"/>
  <c r="AP28" i="71"/>
  <c r="AP29" i="71"/>
  <c r="AP30" i="71"/>
  <c r="AP16" i="71"/>
  <c r="AP32" i="71"/>
  <c r="AP33" i="71"/>
  <c r="AP21" i="71"/>
  <c r="AP36" i="71"/>
  <c r="G12" i="71"/>
  <c r="G7" i="71"/>
  <c r="G8" i="71"/>
  <c r="G9" i="71"/>
  <c r="G10" i="71"/>
  <c r="G11" i="71"/>
  <c r="G13" i="71"/>
  <c r="G14" i="71"/>
  <c r="G15" i="71"/>
  <c r="G16" i="71"/>
  <c r="G17" i="71"/>
  <c r="G18" i="71"/>
  <c r="G19" i="71"/>
  <c r="G20" i="71"/>
  <c r="G21" i="71"/>
  <c r="G22" i="71"/>
  <c r="G23" i="71"/>
  <c r="G24" i="71"/>
  <c r="G25" i="71"/>
  <c r="G27" i="71"/>
  <c r="G28" i="71"/>
  <c r="G29" i="71"/>
  <c r="G30" i="71"/>
  <c r="G31" i="71"/>
  <c r="G32" i="71"/>
  <c r="G33" i="71"/>
  <c r="G34" i="71"/>
  <c r="G35" i="71"/>
  <c r="G37" i="71"/>
  <c r="G38" i="71"/>
  <c r="G39" i="71"/>
  <c r="G40" i="71"/>
  <c r="G42" i="71"/>
  <c r="G43" i="71"/>
  <c r="G44" i="71"/>
  <c r="G45" i="71"/>
  <c r="G46" i="71"/>
  <c r="G47" i="71"/>
  <c r="G49" i="71"/>
  <c r="B49" i="71"/>
  <c r="F48" i="71"/>
  <c r="B48" i="71"/>
  <c r="F47" i="71"/>
  <c r="B47" i="71"/>
  <c r="B46" i="71"/>
  <c r="B45" i="71"/>
  <c r="B44" i="71"/>
  <c r="B43" i="71"/>
  <c r="B42" i="71"/>
  <c r="B41" i="71"/>
  <c r="B40" i="71"/>
  <c r="B39" i="71"/>
  <c r="B38" i="71"/>
  <c r="B37" i="71"/>
  <c r="M36" i="71"/>
  <c r="M7" i="71" s="1"/>
  <c r="B36" i="71"/>
  <c r="B35" i="71"/>
  <c r="B34" i="71"/>
  <c r="B33" i="71"/>
  <c r="B32" i="71"/>
  <c r="B31" i="71"/>
  <c r="B30" i="71"/>
  <c r="F29" i="71"/>
  <c r="B29" i="71"/>
  <c r="B28" i="71"/>
  <c r="B27" i="71"/>
  <c r="B26" i="71"/>
  <c r="B25" i="71"/>
  <c r="B24" i="71"/>
  <c r="B23" i="71"/>
  <c r="B22" i="71"/>
  <c r="B21" i="71"/>
  <c r="B20" i="71"/>
  <c r="B19" i="71"/>
  <c r="B18" i="71"/>
  <c r="B17" i="71"/>
  <c r="B16" i="71"/>
  <c r="S14" i="71"/>
  <c r="S12" i="71" s="1"/>
  <c r="B14" i="71"/>
  <c r="B13" i="71"/>
  <c r="P12" i="71"/>
  <c r="B12" i="71"/>
  <c r="B11" i="71"/>
  <c r="P10" i="71"/>
  <c r="B10" i="71"/>
  <c r="V9" i="71"/>
  <c r="S9" i="71"/>
  <c r="P9" i="71"/>
  <c r="B9" i="71"/>
  <c r="P8" i="71"/>
  <c r="B8" i="71"/>
  <c r="P7" i="71"/>
  <c r="B7" i="71"/>
  <c r="B6" i="71"/>
  <c r="G82" i="70"/>
  <c r="F82" i="70"/>
  <c r="B82" i="70"/>
  <c r="G81" i="70"/>
  <c r="F81" i="70"/>
  <c r="B81" i="70"/>
  <c r="G80" i="70"/>
  <c r="B80" i="70"/>
  <c r="G79" i="70"/>
  <c r="B79" i="70"/>
  <c r="G78" i="70"/>
  <c r="B78" i="70"/>
  <c r="G77" i="70"/>
  <c r="B77" i="70"/>
  <c r="B76" i="70"/>
  <c r="G75" i="70"/>
  <c r="F75" i="70"/>
  <c r="B75" i="70"/>
  <c r="G74" i="70"/>
  <c r="B74" i="70"/>
  <c r="B73" i="70"/>
  <c r="G72" i="70"/>
  <c r="B72" i="70"/>
  <c r="G71" i="70"/>
  <c r="B71" i="70"/>
  <c r="G70" i="70"/>
  <c r="F70" i="70"/>
  <c r="B70" i="70"/>
  <c r="G69" i="70"/>
  <c r="F69" i="70"/>
  <c r="B69" i="70"/>
  <c r="G68" i="70"/>
  <c r="B68" i="70"/>
  <c r="G67" i="70"/>
  <c r="B67" i="70"/>
  <c r="G66" i="70"/>
  <c r="B66" i="70"/>
  <c r="G65" i="70"/>
  <c r="B65" i="70"/>
  <c r="G64" i="70"/>
  <c r="B64" i="70"/>
  <c r="G63" i="70"/>
  <c r="B63" i="70"/>
  <c r="G62" i="70"/>
  <c r="B62" i="70"/>
  <c r="G61" i="70"/>
  <c r="B61" i="70"/>
  <c r="G60" i="70"/>
  <c r="B60" i="70"/>
  <c r="B59" i="70"/>
  <c r="G58" i="70"/>
  <c r="B58" i="70"/>
  <c r="G57" i="70"/>
  <c r="B57" i="70"/>
  <c r="G56" i="70"/>
  <c r="B56" i="70"/>
  <c r="G55" i="70"/>
  <c r="B55" i="70"/>
  <c r="G54" i="70"/>
  <c r="B54" i="70"/>
  <c r="G53" i="70"/>
  <c r="B53" i="70"/>
  <c r="G52" i="70"/>
  <c r="B52" i="70"/>
  <c r="G51" i="70"/>
  <c r="B51" i="70"/>
  <c r="G50" i="70"/>
  <c r="B50" i="70"/>
  <c r="G49" i="70"/>
  <c r="B49" i="70"/>
  <c r="G48" i="70"/>
  <c r="B48" i="70"/>
  <c r="G47" i="70"/>
  <c r="B47" i="70"/>
  <c r="G46" i="70"/>
  <c r="B46" i="70"/>
  <c r="G45" i="70"/>
  <c r="B45" i="70"/>
  <c r="G44" i="70"/>
  <c r="B44" i="70"/>
  <c r="G43" i="70"/>
  <c r="B43" i="70"/>
  <c r="G42" i="70"/>
  <c r="B42" i="70"/>
  <c r="G41" i="70"/>
  <c r="B41" i="70"/>
  <c r="G40" i="70"/>
  <c r="F40" i="70"/>
  <c r="B40" i="70"/>
  <c r="G39" i="70"/>
  <c r="B39" i="70"/>
  <c r="G38" i="70"/>
  <c r="B38" i="70"/>
  <c r="G37" i="70"/>
  <c r="B37" i="70"/>
  <c r="G36" i="70"/>
  <c r="B36" i="70"/>
  <c r="B35" i="70"/>
  <c r="M34" i="70"/>
  <c r="G34" i="70"/>
  <c r="B34" i="70"/>
  <c r="B33" i="70"/>
  <c r="M32" i="70"/>
  <c r="G32" i="70"/>
  <c r="B32" i="70"/>
  <c r="S31" i="70"/>
  <c r="S29" i="70" s="1"/>
  <c r="M31" i="70"/>
  <c r="G31" i="70"/>
  <c r="B31" i="70"/>
  <c r="M30" i="70"/>
  <c r="G30" i="70"/>
  <c r="B30" i="70"/>
  <c r="M29" i="70"/>
  <c r="G29" i="70"/>
  <c r="B29" i="70"/>
  <c r="M28" i="70"/>
  <c r="G28" i="70"/>
  <c r="B28" i="70"/>
  <c r="M27" i="70"/>
  <c r="G27" i="70"/>
  <c r="B27" i="70"/>
  <c r="M26" i="70"/>
  <c r="G26" i="70"/>
  <c r="B26" i="70"/>
  <c r="M25" i="70"/>
  <c r="G25" i="70"/>
  <c r="B25" i="70"/>
  <c r="M24" i="70"/>
  <c r="G24" i="70"/>
  <c r="B24" i="70"/>
  <c r="M23" i="70"/>
  <c r="G23" i="70"/>
  <c r="B23" i="70"/>
  <c r="M22" i="70"/>
  <c r="G22" i="70"/>
  <c r="B22" i="70"/>
  <c r="V21" i="70"/>
  <c r="S21" i="70"/>
  <c r="M21" i="70"/>
  <c r="G21" i="70"/>
  <c r="B21" i="70"/>
  <c r="S20" i="70"/>
  <c r="M20" i="70"/>
  <c r="G20" i="70"/>
  <c r="B20" i="70"/>
  <c r="V19" i="70"/>
  <c r="M19" i="70"/>
  <c r="G19" i="70"/>
  <c r="B19" i="70"/>
  <c r="V18" i="70"/>
  <c r="S18" i="70"/>
  <c r="M18" i="70"/>
  <c r="G18" i="70"/>
  <c r="B18" i="70"/>
  <c r="V17" i="70"/>
  <c r="M17" i="70"/>
  <c r="G17" i="70"/>
  <c r="B17" i="70"/>
  <c r="V16" i="70"/>
  <c r="S16" i="70"/>
  <c r="M16" i="70"/>
  <c r="G16" i="70"/>
  <c r="B16" i="70"/>
  <c r="V15" i="70"/>
  <c r="M15" i="70"/>
  <c r="G15" i="70"/>
  <c r="B15" i="70"/>
  <c r="AB14" i="70"/>
  <c r="V14" i="70"/>
  <c r="M14" i="70"/>
  <c r="G14" i="70"/>
  <c r="B14" i="70"/>
  <c r="V13" i="70"/>
  <c r="S13" i="70"/>
  <c r="M13" i="70"/>
  <c r="G13" i="70"/>
  <c r="B13" i="70"/>
  <c r="AB12" i="70"/>
  <c r="V12" i="70"/>
  <c r="S12" i="70"/>
  <c r="M12" i="70"/>
  <c r="G12" i="70"/>
  <c r="B12" i="70"/>
  <c r="AB11" i="70"/>
  <c r="V11" i="70"/>
  <c r="S11" i="70"/>
  <c r="M11" i="70"/>
  <c r="G11" i="70"/>
  <c r="B11" i="70"/>
  <c r="AB10" i="70"/>
  <c r="Y10" i="70"/>
  <c r="V10" i="70"/>
  <c r="M10" i="70"/>
  <c r="G10" i="70"/>
  <c r="B10" i="70"/>
  <c r="AB9" i="70"/>
  <c r="V9" i="70"/>
  <c r="P9" i="70"/>
  <c r="P7" i="70" s="1"/>
  <c r="M9" i="70"/>
  <c r="G9" i="70"/>
  <c r="B9" i="70"/>
  <c r="AB8" i="70"/>
  <c r="Y8" i="70"/>
  <c r="V8" i="70"/>
  <c r="M8" i="70"/>
  <c r="G8" i="70"/>
  <c r="B8" i="70"/>
  <c r="AB7" i="70"/>
  <c r="Y7" i="70"/>
  <c r="V7" i="70"/>
  <c r="S7" i="70"/>
  <c r="M7" i="70"/>
  <c r="G7" i="70"/>
  <c r="B7" i="70"/>
  <c r="B6" i="70"/>
  <c r="G14" i="69"/>
  <c r="B14" i="69"/>
  <c r="M13" i="69"/>
  <c r="G13" i="69"/>
  <c r="B13" i="69"/>
  <c r="B12" i="69"/>
  <c r="M11" i="69"/>
  <c r="G11" i="69"/>
  <c r="B11" i="69"/>
  <c r="P10" i="69"/>
  <c r="M10" i="69"/>
  <c r="G10" i="69"/>
  <c r="B10" i="69"/>
  <c r="M9" i="69"/>
  <c r="G9" i="69"/>
  <c r="B9" i="69"/>
  <c r="P8" i="69"/>
  <c r="M8" i="69"/>
  <c r="G8" i="69"/>
  <c r="B8" i="69"/>
  <c r="P7" i="69"/>
  <c r="M7" i="69"/>
  <c r="G7" i="69"/>
  <c r="B7" i="69"/>
  <c r="B6" i="69"/>
  <c r="M11" i="68"/>
  <c r="G11" i="68"/>
  <c r="B11" i="68"/>
  <c r="B10" i="68"/>
  <c r="P9" i="68"/>
  <c r="M9" i="68"/>
  <c r="G9" i="68"/>
  <c r="F9" i="68"/>
  <c r="B9" i="68"/>
  <c r="M8" i="68"/>
  <c r="G8" i="68"/>
  <c r="B8" i="68"/>
  <c r="P7" i="68"/>
  <c r="M7" i="68"/>
  <c r="G7" i="68"/>
  <c r="B7" i="68"/>
  <c r="B6" i="68"/>
  <c r="G16" i="67"/>
  <c r="B16" i="67"/>
  <c r="G15" i="67"/>
  <c r="B15" i="67"/>
  <c r="P14" i="67"/>
  <c r="G14" i="67"/>
  <c r="F14" i="67"/>
  <c r="B14" i="67"/>
  <c r="G13" i="67"/>
  <c r="B13" i="67"/>
  <c r="P12" i="67"/>
  <c r="G12" i="67"/>
  <c r="B12" i="67"/>
  <c r="P11" i="67"/>
  <c r="B11" i="67"/>
  <c r="P10" i="67"/>
  <c r="M10" i="67"/>
  <c r="G10" i="67"/>
  <c r="B10" i="67"/>
  <c r="P9" i="67"/>
  <c r="G9" i="67"/>
  <c r="B9" i="67"/>
  <c r="P8" i="67"/>
  <c r="M8" i="67"/>
  <c r="B8" i="67"/>
  <c r="P7" i="67"/>
  <c r="M7" i="67"/>
  <c r="B7" i="67"/>
  <c r="B6" i="67"/>
  <c r="G31" i="66"/>
  <c r="B31" i="66"/>
  <c r="G30" i="66"/>
  <c r="F30" i="66"/>
  <c r="B30" i="66"/>
  <c r="G29" i="66"/>
  <c r="B29" i="66"/>
  <c r="F28" i="66"/>
  <c r="B28" i="66"/>
  <c r="G27" i="66"/>
  <c r="B27" i="66"/>
  <c r="G26" i="66"/>
  <c r="B26" i="66"/>
  <c r="G25" i="66"/>
  <c r="B25" i="66"/>
  <c r="G24" i="66"/>
  <c r="B24" i="66"/>
  <c r="G23" i="66"/>
  <c r="B23" i="66"/>
  <c r="G22" i="66"/>
  <c r="F22" i="66"/>
  <c r="B22" i="66"/>
  <c r="B21" i="66"/>
  <c r="G20" i="66"/>
  <c r="B20" i="66"/>
  <c r="G19" i="66"/>
  <c r="B19" i="66"/>
  <c r="G18" i="66"/>
  <c r="F18" i="66"/>
  <c r="B18" i="66"/>
  <c r="G17" i="66"/>
  <c r="B17" i="66"/>
  <c r="G16" i="66"/>
  <c r="B16" i="66"/>
  <c r="F15" i="66"/>
  <c r="B15" i="66"/>
  <c r="V14" i="66"/>
  <c r="G14" i="66"/>
  <c r="F14" i="66"/>
  <c r="S13" i="66"/>
  <c r="G13" i="66"/>
  <c r="B13" i="66"/>
  <c r="V12" i="66"/>
  <c r="F12" i="66"/>
  <c r="B12" i="66"/>
  <c r="Y11" i="66"/>
  <c r="V11" i="66"/>
  <c r="S11" i="66"/>
  <c r="G11" i="66"/>
  <c r="F11" i="66"/>
  <c r="B11" i="66"/>
  <c r="V10" i="66"/>
  <c r="S10" i="66"/>
  <c r="P10" i="66"/>
  <c r="M10" i="66"/>
  <c r="G10" i="66"/>
  <c r="B10" i="66"/>
  <c r="Y9" i="66"/>
  <c r="V9" i="66"/>
  <c r="S9" i="66"/>
  <c r="G9" i="66"/>
  <c r="B9" i="66"/>
  <c r="Y8" i="66"/>
  <c r="V8" i="66"/>
  <c r="S8" i="66"/>
  <c r="P8" i="66"/>
  <c r="M8" i="66"/>
  <c r="G8" i="66"/>
  <c r="B8" i="66"/>
  <c r="Y7" i="66"/>
  <c r="V7" i="66"/>
  <c r="S7" i="66"/>
  <c r="P7" i="66"/>
  <c r="M7" i="66"/>
  <c r="G7" i="66"/>
  <c r="B7" i="66"/>
  <c r="F6" i="66"/>
  <c r="B6" i="66"/>
  <c r="AZ18" i="65" l="1"/>
  <c r="EF17" i="65"/>
  <c r="EG17" i="65" s="1"/>
  <c r="DD18" i="65"/>
  <c r="DE18" i="65" s="1"/>
  <c r="CB17" i="65"/>
  <c r="X18" i="65"/>
  <c r="AL18" i="64"/>
  <c r="AZ17" i="62"/>
  <c r="X18" i="62"/>
  <c r="DM7" i="61"/>
  <c r="DI7" i="61"/>
  <c r="CF16" i="61"/>
  <c r="BD17" i="61"/>
  <c r="X22" i="61"/>
  <c r="BO43" i="72"/>
  <c r="CB13" i="72"/>
  <c r="X20" i="72"/>
  <c r="K62" i="72" a="1"/>
  <c r="S8" i="71"/>
  <c r="S11" i="71"/>
  <c r="M33" i="71"/>
  <c r="S10" i="71"/>
  <c r="V7" i="71"/>
  <c r="M8" i="71"/>
  <c r="M9" i="71"/>
  <c r="M12" i="71"/>
  <c r="M15" i="71"/>
  <c r="M19" i="71"/>
  <c r="M23" i="71"/>
  <c r="M27" i="71"/>
  <c r="M32" i="71"/>
  <c r="S7" i="71"/>
  <c r="M10" i="71"/>
  <c r="M11" i="71"/>
  <c r="M14" i="71"/>
  <c r="M17" i="71"/>
  <c r="M21" i="71"/>
  <c r="M25" i="71"/>
  <c r="M30" i="71"/>
  <c r="M34" i="71"/>
  <c r="M13" i="71"/>
  <c r="M16" i="71"/>
  <c r="M18" i="71"/>
  <c r="M20" i="71"/>
  <c r="M22" i="71"/>
  <c r="M24" i="71"/>
  <c r="M26" i="71"/>
  <c r="M28" i="71"/>
  <c r="M29" i="71"/>
  <c r="M31" i="71"/>
  <c r="S8" i="70"/>
  <c r="S9" i="70"/>
  <c r="S10" i="70"/>
  <c r="S14" i="70"/>
  <c r="S15" i="70"/>
  <c r="S17" i="70"/>
  <c r="S19" i="70"/>
  <c r="S22" i="70"/>
  <c r="S23" i="70"/>
  <c r="S24" i="70"/>
  <c r="S25" i="70"/>
  <c r="S26" i="70"/>
  <c r="S27" i="70"/>
  <c r="S28" i="70"/>
  <c r="AZ19" i="65" l="1"/>
  <c r="EF18" i="65"/>
  <c r="EG18" i="65" s="1"/>
  <c r="DD19" i="65"/>
  <c r="DE19" i="65" s="1"/>
  <c r="CB18" i="65"/>
  <c r="X19" i="65"/>
  <c r="AL19" i="64"/>
  <c r="AZ18" i="62"/>
  <c r="X19" i="62"/>
  <c r="CF17" i="61"/>
  <c r="BD18" i="61"/>
  <c r="X23" i="61"/>
  <c r="CB14" i="72"/>
  <c r="X21" i="72"/>
  <c r="K63" i="72"/>
  <c r="K62" i="72"/>
  <c r="K66" i="72" s="1"/>
  <c r="BP13" i="65"/>
  <c r="BP30" i="65" s="1"/>
  <c r="BO34" i="65" s="1" a="1"/>
  <c r="AN10" i="65"/>
  <c r="F8" i="65"/>
  <c r="F9" i="65"/>
  <c r="F10" i="65"/>
  <c r="F11" i="65"/>
  <c r="F13" i="65"/>
  <c r="F14" i="65"/>
  <c r="F16" i="65"/>
  <c r="F17" i="65"/>
  <c r="F18" i="65"/>
  <c r="F19" i="65"/>
  <c r="F20" i="65"/>
  <c r="F22" i="65"/>
  <c r="F23" i="65"/>
  <c r="F24" i="65"/>
  <c r="F25" i="65"/>
  <c r="F26" i="65"/>
  <c r="F27" i="65"/>
  <c r="F29" i="65"/>
  <c r="F30" i="65"/>
  <c r="F31" i="65"/>
  <c r="F7" i="65"/>
  <c r="L7" i="65"/>
  <c r="Z14" i="64"/>
  <c r="Z11" i="64"/>
  <c r="L10" i="64"/>
  <c r="L27" i="64" s="1"/>
  <c r="K31" i="64" s="1" a="1"/>
  <c r="F13" i="64"/>
  <c r="F14" i="64"/>
  <c r="F15" i="64"/>
  <c r="F16" i="64"/>
  <c r="F12" i="64"/>
  <c r="F10" i="64"/>
  <c r="F9" i="64"/>
  <c r="L7" i="64"/>
  <c r="L11" i="63"/>
  <c r="O9" i="63"/>
  <c r="F11" i="63"/>
  <c r="F8" i="63"/>
  <c r="F9" i="63"/>
  <c r="F7" i="63"/>
  <c r="L7" i="63"/>
  <c r="O7" i="63"/>
  <c r="L9" i="63"/>
  <c r="L8" i="63"/>
  <c r="AN10" i="62"/>
  <c r="AN8" i="62" s="1"/>
  <c r="L13" i="62"/>
  <c r="L30" i="62" s="1"/>
  <c r="F8" i="62"/>
  <c r="F9" i="62"/>
  <c r="F10" i="62"/>
  <c r="F11" i="62"/>
  <c r="F13" i="62"/>
  <c r="F14" i="62"/>
  <c r="F7" i="62"/>
  <c r="B14" i="62"/>
  <c r="B13" i="62"/>
  <c r="B12" i="62"/>
  <c r="B11" i="62"/>
  <c r="B10" i="62"/>
  <c r="B9" i="62"/>
  <c r="B8" i="62"/>
  <c r="B7" i="62"/>
  <c r="B6" i="62"/>
  <c r="L9" i="62"/>
  <c r="CZ14" i="61"/>
  <c r="CZ10" i="61" s="1"/>
  <c r="CV10" i="61"/>
  <c r="CV8" i="61" s="1"/>
  <c r="BT19" i="61"/>
  <c r="AR26" i="61"/>
  <c r="L34" i="61"/>
  <c r="F78" i="61"/>
  <c r="F79" i="61"/>
  <c r="F80" i="61"/>
  <c r="F81" i="61"/>
  <c r="F82" i="61"/>
  <c r="F77" i="61"/>
  <c r="F75" i="61"/>
  <c r="F74" i="61"/>
  <c r="F61" i="61"/>
  <c r="F62" i="61"/>
  <c r="F63" i="61"/>
  <c r="F64" i="61"/>
  <c r="F65" i="61"/>
  <c r="F66" i="61"/>
  <c r="F67" i="61"/>
  <c r="F68" i="61"/>
  <c r="F69" i="61"/>
  <c r="F70" i="61"/>
  <c r="F71" i="61"/>
  <c r="F72" i="61"/>
  <c r="F60" i="61"/>
  <c r="F37" i="61"/>
  <c r="F38" i="61"/>
  <c r="F39" i="61"/>
  <c r="F40" i="61"/>
  <c r="F41" i="61"/>
  <c r="F42" i="61"/>
  <c r="F43" i="61"/>
  <c r="F44" i="61"/>
  <c r="F45" i="61"/>
  <c r="F46" i="61"/>
  <c r="F47" i="61"/>
  <c r="F48" i="61"/>
  <c r="F49" i="61"/>
  <c r="F50" i="61"/>
  <c r="F51" i="61"/>
  <c r="F52" i="61"/>
  <c r="F53" i="61"/>
  <c r="F54" i="61"/>
  <c r="F55" i="61"/>
  <c r="F56" i="61"/>
  <c r="F57" i="61"/>
  <c r="F58" i="61"/>
  <c r="F36" i="61"/>
  <c r="F34" i="61"/>
  <c r="F8" i="61"/>
  <c r="F9" i="61"/>
  <c r="F10" i="61"/>
  <c r="F11" i="61"/>
  <c r="F12" i="61"/>
  <c r="F13" i="61"/>
  <c r="F14" i="61"/>
  <c r="F15" i="61"/>
  <c r="F16" i="61"/>
  <c r="F17" i="61"/>
  <c r="F18" i="61"/>
  <c r="F19" i="61"/>
  <c r="F20" i="61"/>
  <c r="F21" i="61"/>
  <c r="F22" i="61"/>
  <c r="F23" i="61"/>
  <c r="F24" i="61"/>
  <c r="F25" i="61"/>
  <c r="F26" i="61"/>
  <c r="F27" i="61"/>
  <c r="F28" i="61"/>
  <c r="F29" i="61"/>
  <c r="F30" i="61"/>
  <c r="F31" i="61"/>
  <c r="F32" i="61"/>
  <c r="F7" i="61"/>
  <c r="AN8" i="65" l="1"/>
  <c r="AN27" i="65"/>
  <c r="AM31" i="65" s="1" a="1"/>
  <c r="AN7" i="65"/>
  <c r="AZ20" i="65"/>
  <c r="EF19" i="65"/>
  <c r="EG19" i="65" s="1"/>
  <c r="DD20" i="65"/>
  <c r="DE20" i="65" s="1"/>
  <c r="BP34" i="65"/>
  <c r="BO34" i="65"/>
  <c r="BP35" i="65"/>
  <c r="BO35" i="65"/>
  <c r="CB19" i="65"/>
  <c r="M7" i="65"/>
  <c r="P7" i="65"/>
  <c r="Q7" i="65" s="1"/>
  <c r="N7" i="65"/>
  <c r="X20" i="65"/>
  <c r="AL20" i="64"/>
  <c r="AD11" i="64"/>
  <c r="AE11" i="64" s="1"/>
  <c r="AB11" i="64"/>
  <c r="AA11" i="64"/>
  <c r="Z8" i="64"/>
  <c r="Z31" i="64"/>
  <c r="Y35" i="64" s="1" a="1"/>
  <c r="Z7" i="64"/>
  <c r="Z9" i="64"/>
  <c r="M7" i="64"/>
  <c r="P7" i="64"/>
  <c r="Q7" i="64" s="1"/>
  <c r="N7" i="64"/>
  <c r="K32" i="64"/>
  <c r="L31" i="64"/>
  <c r="L32" i="64"/>
  <c r="K31" i="64"/>
  <c r="AZ19" i="62"/>
  <c r="AN7" i="62"/>
  <c r="X20" i="62"/>
  <c r="BT8" i="61"/>
  <c r="BT10" i="61"/>
  <c r="BT12" i="61"/>
  <c r="BT14" i="61"/>
  <c r="BT16" i="61"/>
  <c r="BT7" i="61"/>
  <c r="BT9" i="61"/>
  <c r="BT11" i="61"/>
  <c r="BT13" i="61"/>
  <c r="BT15" i="61"/>
  <c r="BT17" i="61"/>
  <c r="BT36" i="61"/>
  <c r="BS40" i="61" s="1" a="1"/>
  <c r="CF18" i="61"/>
  <c r="AR7" i="61"/>
  <c r="AR43" i="61"/>
  <c r="AQ47" i="61" s="1" a="1"/>
  <c r="BD19" i="61"/>
  <c r="X24" i="61"/>
  <c r="L32" i="61"/>
  <c r="L51" i="61"/>
  <c r="K55" i="61" s="1" a="1"/>
  <c r="P32" i="61"/>
  <c r="Q32" i="61" s="1"/>
  <c r="T32" i="61" s="1"/>
  <c r="N32" i="61"/>
  <c r="M32" i="61"/>
  <c r="CZ9" i="61"/>
  <c r="CZ7" i="61"/>
  <c r="CZ8" i="61"/>
  <c r="CV7" i="61"/>
  <c r="CZ12" i="61"/>
  <c r="CZ11" i="61"/>
  <c r="AR20" i="61"/>
  <c r="AR16" i="61"/>
  <c r="AR12" i="61"/>
  <c r="AR8" i="61"/>
  <c r="AR24" i="61"/>
  <c r="AR19" i="61"/>
  <c r="AR15" i="61"/>
  <c r="AR11" i="61"/>
  <c r="L12" i="61"/>
  <c r="P12" i="61" s="1"/>
  <c r="Q12" i="61" s="1"/>
  <c r="T12" i="61" s="1"/>
  <c r="AR23" i="61"/>
  <c r="AR18" i="61"/>
  <c r="AR14" i="61"/>
  <c r="AR10" i="61"/>
  <c r="AR22" i="61"/>
  <c r="AR21" i="61"/>
  <c r="AR17" i="61"/>
  <c r="AR13" i="61"/>
  <c r="AR9" i="61"/>
  <c r="CB15" i="72"/>
  <c r="X22" i="72"/>
  <c r="K65" i="72"/>
  <c r="AW7" i="72" s="1"/>
  <c r="Z10" i="64"/>
  <c r="Z12" i="64"/>
  <c r="L8" i="64"/>
  <c r="L10" i="62"/>
  <c r="L8" i="62"/>
  <c r="L7" i="62"/>
  <c r="L11" i="62"/>
  <c r="L22" i="61"/>
  <c r="L25" i="61"/>
  <c r="L13" i="61"/>
  <c r="M13" i="61" s="1"/>
  <c r="L17" i="61"/>
  <c r="L27" i="61"/>
  <c r="L19" i="61"/>
  <c r="L30" i="61"/>
  <c r="L14" i="61"/>
  <c r="M14" i="61" s="1"/>
  <c r="L15" i="61"/>
  <c r="L21" i="61"/>
  <c r="L26" i="61"/>
  <c r="L31" i="61"/>
  <c r="L18" i="61"/>
  <c r="L23" i="61"/>
  <c r="L29" i="61"/>
  <c r="L16" i="61"/>
  <c r="L20" i="61"/>
  <c r="L24" i="61"/>
  <c r="L28" i="61"/>
  <c r="AM31" i="65" l="1"/>
  <c r="AN31" i="65"/>
  <c r="AM32" i="65"/>
  <c r="AN32" i="65"/>
  <c r="AO7" i="65"/>
  <c r="AR7" i="65"/>
  <c r="AS7" i="65" s="1"/>
  <c r="AP7" i="65"/>
  <c r="AO8" i="65"/>
  <c r="AR8" i="65"/>
  <c r="AS8" i="65" s="1"/>
  <c r="AV8" i="65" s="1"/>
  <c r="AP8" i="65"/>
  <c r="AZ21" i="65"/>
  <c r="EF20" i="65"/>
  <c r="EG20" i="65" s="1"/>
  <c r="DD21" i="65"/>
  <c r="DE21" i="65" s="1"/>
  <c r="BO39" i="65" a="1"/>
  <c r="CB20" i="65"/>
  <c r="Q13" i="65"/>
  <c r="N30" i="65" s="1"/>
  <c r="T7" i="65"/>
  <c r="T13" i="65" s="1"/>
  <c r="N29" i="65" s="1"/>
  <c r="X21" i="65"/>
  <c r="AL21" i="64"/>
  <c r="AA12" i="64"/>
  <c r="AD12" i="64"/>
  <c r="AE12" i="64" s="1"/>
  <c r="AB12" i="64"/>
  <c r="AA7" i="64"/>
  <c r="AD7" i="64"/>
  <c r="AE7" i="64" s="1"/>
  <c r="AB7" i="64"/>
  <c r="AA8" i="64"/>
  <c r="AD8" i="64"/>
  <c r="AE8" i="64" s="1"/>
  <c r="AB8" i="64"/>
  <c r="AA10" i="64"/>
  <c r="AD10" i="64"/>
  <c r="AE10" i="64" s="1"/>
  <c r="AB10" i="64"/>
  <c r="AD9" i="64"/>
  <c r="AE9" i="64" s="1"/>
  <c r="AB9" i="64"/>
  <c r="AA9" i="64"/>
  <c r="Z36" i="64"/>
  <c r="Z35" i="64"/>
  <c r="Y36" i="64"/>
  <c r="Y35" i="64"/>
  <c r="P8" i="64"/>
  <c r="Q8" i="64" s="1"/>
  <c r="T8" i="64" s="1"/>
  <c r="N8" i="64"/>
  <c r="M8" i="64"/>
  <c r="T7" i="64"/>
  <c r="AZ20" i="62"/>
  <c r="P7" i="62"/>
  <c r="Q7" i="62" s="1"/>
  <c r="T7" i="62" s="1"/>
  <c r="N7" i="62"/>
  <c r="M7" i="62"/>
  <c r="X21" i="62"/>
  <c r="BU11" i="61"/>
  <c r="BX11" i="61"/>
  <c r="BY11" i="61" s="1"/>
  <c r="CB11" i="61" s="1"/>
  <c r="BV11" i="61"/>
  <c r="BX8" i="61"/>
  <c r="BY8" i="61" s="1"/>
  <c r="CB8" i="61" s="1"/>
  <c r="BV8" i="61"/>
  <c r="BU8" i="61"/>
  <c r="BS41" i="61"/>
  <c r="BT40" i="61"/>
  <c r="BT41" i="61"/>
  <c r="BS40" i="61"/>
  <c r="BU17" i="61"/>
  <c r="BX17" i="61"/>
  <c r="BY17" i="61" s="1"/>
  <c r="CB17" i="61" s="1"/>
  <c r="BV17" i="61"/>
  <c r="BX10" i="61"/>
  <c r="BY10" i="61" s="1"/>
  <c r="CB10" i="61" s="1"/>
  <c r="BV10" i="61"/>
  <c r="BU10" i="61"/>
  <c r="BX16" i="61"/>
  <c r="BY16" i="61" s="1"/>
  <c r="CB16" i="61" s="1"/>
  <c r="BV16" i="61"/>
  <c r="BU16" i="61"/>
  <c r="BU13" i="61"/>
  <c r="BX13" i="61"/>
  <c r="BY13" i="61" s="1"/>
  <c r="CB13" i="61" s="1"/>
  <c r="BV13" i="61"/>
  <c r="BX14" i="61"/>
  <c r="BY14" i="61" s="1"/>
  <c r="CB14" i="61" s="1"/>
  <c r="BV14" i="61"/>
  <c r="BU14" i="61"/>
  <c r="BU7" i="61"/>
  <c r="BX7" i="61"/>
  <c r="BY7" i="61" s="1"/>
  <c r="BV7" i="61"/>
  <c r="BU15" i="61"/>
  <c r="BX15" i="61"/>
  <c r="BY15" i="61" s="1"/>
  <c r="CB15" i="61" s="1"/>
  <c r="BV15" i="61"/>
  <c r="BX12" i="61"/>
  <c r="BY12" i="61" s="1"/>
  <c r="CB12" i="61" s="1"/>
  <c r="BV12" i="61"/>
  <c r="BU12" i="61"/>
  <c r="BU9" i="61"/>
  <c r="BX9" i="61"/>
  <c r="BY9" i="61" s="1"/>
  <c r="CB9" i="61" s="1"/>
  <c r="BV9" i="61"/>
  <c r="CF19" i="61"/>
  <c r="AS13" i="61"/>
  <c r="AV13" i="61"/>
  <c r="AW13" i="61" s="1"/>
  <c r="AZ13" i="61" s="1"/>
  <c r="AT13" i="61"/>
  <c r="AS21" i="61"/>
  <c r="AV21" i="61"/>
  <c r="AW21" i="61" s="1"/>
  <c r="AZ21" i="61" s="1"/>
  <c r="AT21" i="61"/>
  <c r="AS10" i="61"/>
  <c r="AV10" i="61"/>
  <c r="AW10" i="61" s="1"/>
  <c r="AZ10" i="61" s="1"/>
  <c r="AT10" i="61"/>
  <c r="AS18" i="61"/>
  <c r="AV18" i="61"/>
  <c r="AW18" i="61" s="1"/>
  <c r="AZ18" i="61" s="1"/>
  <c r="AT18" i="61"/>
  <c r="AS11" i="61"/>
  <c r="AV11" i="61"/>
  <c r="AW11" i="61" s="1"/>
  <c r="AZ11" i="61" s="1"/>
  <c r="AT11" i="61"/>
  <c r="AS19" i="61"/>
  <c r="AV19" i="61"/>
  <c r="AW19" i="61" s="1"/>
  <c r="AZ19" i="61" s="1"/>
  <c r="AT19" i="61"/>
  <c r="AS8" i="61"/>
  <c r="AV8" i="61"/>
  <c r="AW8" i="61" s="1"/>
  <c r="AZ8" i="61" s="1"/>
  <c r="AT8" i="61"/>
  <c r="AS16" i="61"/>
  <c r="AV16" i="61"/>
  <c r="AW16" i="61" s="1"/>
  <c r="AZ16" i="61" s="1"/>
  <c r="AT16" i="61"/>
  <c r="AS9" i="61"/>
  <c r="AV9" i="61"/>
  <c r="AW9" i="61" s="1"/>
  <c r="AZ9" i="61" s="1"/>
  <c r="AT9" i="61"/>
  <c r="AS17" i="61"/>
  <c r="AV17" i="61"/>
  <c r="AW17" i="61" s="1"/>
  <c r="AZ17" i="61" s="1"/>
  <c r="AT17" i="61"/>
  <c r="AS22" i="61"/>
  <c r="AV22" i="61"/>
  <c r="AW22" i="61" s="1"/>
  <c r="AZ22" i="61" s="1"/>
  <c r="AT22" i="61"/>
  <c r="AS14" i="61"/>
  <c r="AV14" i="61"/>
  <c r="AW14" i="61" s="1"/>
  <c r="AZ14" i="61" s="1"/>
  <c r="AT14" i="61"/>
  <c r="AS23" i="61"/>
  <c r="AV23" i="61"/>
  <c r="AW23" i="61" s="1"/>
  <c r="AT23" i="61"/>
  <c r="AS15" i="61"/>
  <c r="AV15" i="61"/>
  <c r="AW15" i="61" s="1"/>
  <c r="AZ15" i="61" s="1"/>
  <c r="AT15" i="61"/>
  <c r="AS24" i="61"/>
  <c r="AV24" i="61"/>
  <c r="AW24" i="61" s="1"/>
  <c r="AZ24" i="61" s="1"/>
  <c r="AT24" i="61"/>
  <c r="AS12" i="61"/>
  <c r="AV12" i="61"/>
  <c r="AW12" i="61" s="1"/>
  <c r="AZ12" i="61" s="1"/>
  <c r="AT12" i="61"/>
  <c r="AS20" i="61"/>
  <c r="AV20" i="61"/>
  <c r="AW20" i="61" s="1"/>
  <c r="AZ20" i="61" s="1"/>
  <c r="AT20" i="61"/>
  <c r="AS7" i="61"/>
  <c r="AV7" i="61"/>
  <c r="AW7" i="61" s="1"/>
  <c r="AT7" i="61"/>
  <c r="AR48" i="61"/>
  <c r="AR47" i="61"/>
  <c r="AQ48" i="61"/>
  <c r="AQ47" i="61"/>
  <c r="BD20" i="61"/>
  <c r="X25" i="61"/>
  <c r="L56" i="61"/>
  <c r="K56" i="61"/>
  <c r="K55" i="61"/>
  <c r="L55" i="61"/>
  <c r="P20" i="61"/>
  <c r="Q20" i="61" s="1"/>
  <c r="T20" i="61" s="1"/>
  <c r="N20" i="61"/>
  <c r="M20" i="61"/>
  <c r="P15" i="61"/>
  <c r="Q15" i="61" s="1"/>
  <c r="T15" i="61" s="1"/>
  <c r="N15" i="61"/>
  <c r="M15" i="61"/>
  <c r="P22" i="61"/>
  <c r="Q22" i="61" s="1"/>
  <c r="T22" i="61" s="1"/>
  <c r="N22" i="61"/>
  <c r="M22" i="61"/>
  <c r="P31" i="61"/>
  <c r="Q31" i="61" s="1"/>
  <c r="T31" i="61" s="1"/>
  <c r="N31" i="61"/>
  <c r="M31" i="61"/>
  <c r="P17" i="61"/>
  <c r="Q17" i="61" s="1"/>
  <c r="T17" i="61" s="1"/>
  <c r="N17" i="61"/>
  <c r="M17" i="61"/>
  <c r="P28" i="61"/>
  <c r="Q28" i="61" s="1"/>
  <c r="T28" i="61" s="1"/>
  <c r="N28" i="61"/>
  <c r="M28" i="61"/>
  <c r="N29" i="61"/>
  <c r="M29" i="61"/>
  <c r="P29" i="61"/>
  <c r="Q29" i="61" s="1"/>
  <c r="T29" i="61" s="1"/>
  <c r="P26" i="61"/>
  <c r="Q26" i="61" s="1"/>
  <c r="T26" i="61" s="1"/>
  <c r="N26" i="61"/>
  <c r="M26" i="61"/>
  <c r="P30" i="61"/>
  <c r="Q30" i="61" s="1"/>
  <c r="T30" i="61" s="1"/>
  <c r="N30" i="61"/>
  <c r="M30" i="61"/>
  <c r="P18" i="61"/>
  <c r="Q18" i="61" s="1"/>
  <c r="N18" i="61"/>
  <c r="M18" i="61"/>
  <c r="P27" i="61"/>
  <c r="Q27" i="61" s="1"/>
  <c r="T27" i="61" s="1"/>
  <c r="N27" i="61"/>
  <c r="M27" i="61"/>
  <c r="P16" i="61"/>
  <c r="Q16" i="61" s="1"/>
  <c r="T16" i="61" s="1"/>
  <c r="N16" i="61"/>
  <c r="M16" i="61"/>
  <c r="P24" i="61"/>
  <c r="Q24" i="61" s="1"/>
  <c r="T24" i="61" s="1"/>
  <c r="N24" i="61"/>
  <c r="M24" i="61"/>
  <c r="P23" i="61"/>
  <c r="Q23" i="61" s="1"/>
  <c r="T23" i="61" s="1"/>
  <c r="N23" i="61"/>
  <c r="M23" i="61"/>
  <c r="P21" i="61"/>
  <c r="Q21" i="61" s="1"/>
  <c r="T21" i="61" s="1"/>
  <c r="N21" i="61"/>
  <c r="M21" i="61"/>
  <c r="P19" i="61"/>
  <c r="Q19" i="61" s="1"/>
  <c r="T19" i="61" s="1"/>
  <c r="N19" i="61"/>
  <c r="M19" i="61"/>
  <c r="M25" i="61"/>
  <c r="N25" i="61"/>
  <c r="P25" i="61"/>
  <c r="Q25" i="61" s="1"/>
  <c r="T25" i="61" s="1"/>
  <c r="N13" i="61"/>
  <c r="P13" i="61"/>
  <c r="Q13" i="61" s="1"/>
  <c r="T13" i="61" s="1"/>
  <c r="M12" i="61"/>
  <c r="N12" i="61"/>
  <c r="N14" i="61"/>
  <c r="P14" i="61"/>
  <c r="Q14" i="61" s="1"/>
  <c r="T14" i="61" s="1"/>
  <c r="CB16" i="72"/>
  <c r="Y14" i="72"/>
  <c r="Y15" i="72"/>
  <c r="Y16" i="72"/>
  <c r="Y17" i="72"/>
  <c r="Y18" i="72"/>
  <c r="Y19" i="72"/>
  <c r="Y20" i="72"/>
  <c r="Y21" i="72"/>
  <c r="X23" i="72"/>
  <c r="Y22" i="72"/>
  <c r="U13" i="72"/>
  <c r="U14" i="72"/>
  <c r="U18" i="72"/>
  <c r="U22" i="72"/>
  <c r="U26" i="72"/>
  <c r="U30" i="72"/>
  <c r="U34" i="72"/>
  <c r="U16" i="72"/>
  <c r="U32" i="72"/>
  <c r="U15" i="72"/>
  <c r="U19" i="72"/>
  <c r="U23" i="72"/>
  <c r="U27" i="72"/>
  <c r="U31" i="72"/>
  <c r="U24" i="72"/>
  <c r="U17" i="72"/>
  <c r="U21" i="72"/>
  <c r="U25" i="72"/>
  <c r="U29" i="72"/>
  <c r="U33" i="72"/>
  <c r="U20" i="72"/>
  <c r="U28" i="72"/>
  <c r="B31" i="65"/>
  <c r="E30" i="65"/>
  <c r="B30" i="65"/>
  <c r="B29" i="65"/>
  <c r="E28" i="65"/>
  <c r="B28" i="65"/>
  <c r="B27" i="65"/>
  <c r="B26" i="65"/>
  <c r="B25" i="65"/>
  <c r="B24" i="65"/>
  <c r="B23" i="65"/>
  <c r="E22" i="65"/>
  <c r="B22" i="65"/>
  <c r="B21" i="65"/>
  <c r="B20" i="65"/>
  <c r="B19" i="65"/>
  <c r="E18" i="65"/>
  <c r="B18" i="65"/>
  <c r="B17" i="65"/>
  <c r="B16" i="65"/>
  <c r="E15" i="65"/>
  <c r="B15" i="65"/>
  <c r="E14" i="65"/>
  <c r="B13" i="65"/>
  <c r="E12" i="65"/>
  <c r="B12" i="65"/>
  <c r="E11" i="65"/>
  <c r="B11" i="65"/>
  <c r="B10" i="65"/>
  <c r="B9" i="65"/>
  <c r="B8" i="65"/>
  <c r="B7" i="65"/>
  <c r="E6" i="65"/>
  <c r="B6" i="65"/>
  <c r="B16" i="64"/>
  <c r="B15" i="64"/>
  <c r="E14" i="64"/>
  <c r="B14" i="64"/>
  <c r="B13" i="64"/>
  <c r="B12" i="64"/>
  <c r="B11" i="64"/>
  <c r="B10" i="64"/>
  <c r="B9" i="64"/>
  <c r="B8" i="64"/>
  <c r="B7" i="64"/>
  <c r="B6" i="64"/>
  <c r="B11" i="63"/>
  <c r="B10" i="63"/>
  <c r="E9" i="63"/>
  <c r="B9" i="63"/>
  <c r="B8" i="63"/>
  <c r="B7" i="63"/>
  <c r="B6" i="63"/>
  <c r="E82" i="61"/>
  <c r="B82" i="61"/>
  <c r="E81" i="61"/>
  <c r="B81" i="61"/>
  <c r="B80" i="61"/>
  <c r="B79" i="61"/>
  <c r="B78" i="61"/>
  <c r="B77" i="61"/>
  <c r="B76" i="61"/>
  <c r="E75" i="61"/>
  <c r="B75" i="61"/>
  <c r="B74" i="61"/>
  <c r="B73" i="61"/>
  <c r="B72" i="61"/>
  <c r="B71" i="61"/>
  <c r="E70" i="61"/>
  <c r="B70" i="61"/>
  <c r="E69" i="61"/>
  <c r="B69" i="61"/>
  <c r="B68" i="61"/>
  <c r="B67" i="61"/>
  <c r="B66" i="61"/>
  <c r="B65" i="61"/>
  <c r="B64" i="61"/>
  <c r="B63" i="61"/>
  <c r="B62" i="61"/>
  <c r="B61" i="61"/>
  <c r="B60" i="61"/>
  <c r="B59" i="61"/>
  <c r="B58" i="61"/>
  <c r="B57" i="61"/>
  <c r="B56" i="61"/>
  <c r="B55" i="61"/>
  <c r="B54" i="61"/>
  <c r="B53" i="61"/>
  <c r="B52" i="61"/>
  <c r="B51" i="61"/>
  <c r="B50" i="61"/>
  <c r="B49" i="61"/>
  <c r="B48" i="61"/>
  <c r="B47" i="61"/>
  <c r="B46" i="61"/>
  <c r="B45" i="61"/>
  <c r="B44" i="61"/>
  <c r="B43" i="61"/>
  <c r="B42" i="61"/>
  <c r="B41" i="61"/>
  <c r="E40" i="61"/>
  <c r="B40" i="61"/>
  <c r="B39" i="61"/>
  <c r="B38" i="61"/>
  <c r="B37" i="61"/>
  <c r="B36" i="61"/>
  <c r="B35" i="61"/>
  <c r="B34" i="61"/>
  <c r="B33" i="61"/>
  <c r="B32" i="61"/>
  <c r="B31" i="61"/>
  <c r="B30" i="61"/>
  <c r="B29" i="61"/>
  <c r="B28" i="61"/>
  <c r="B27" i="61"/>
  <c r="B26" i="61"/>
  <c r="B25" i="61"/>
  <c r="B24" i="61"/>
  <c r="B23" i="61"/>
  <c r="B22" i="61"/>
  <c r="B21" i="61"/>
  <c r="B20" i="61"/>
  <c r="B19" i="61"/>
  <c r="B18" i="61"/>
  <c r="B17" i="61"/>
  <c r="B16" i="61"/>
  <c r="B15" i="61"/>
  <c r="B14" i="61"/>
  <c r="B13" i="61"/>
  <c r="B12" i="61"/>
  <c r="B11" i="61"/>
  <c r="B10" i="61"/>
  <c r="B9" i="61"/>
  <c r="B8" i="61"/>
  <c r="B7" i="61"/>
  <c r="B6" i="61"/>
  <c r="AS10" i="65" l="1"/>
  <c r="AP27" i="65" s="1"/>
  <c r="AV7" i="65"/>
  <c r="AV10" i="65" s="1"/>
  <c r="AP26" i="65" s="1"/>
  <c r="AM36" i="65" a="1"/>
  <c r="AZ22" i="65"/>
  <c r="EF21" i="65"/>
  <c r="EG21" i="65" s="1"/>
  <c r="DD22" i="65"/>
  <c r="DE22" i="65" s="1"/>
  <c r="BO40" i="65"/>
  <c r="BO39" i="65"/>
  <c r="BO43" i="65" s="1"/>
  <c r="CB21" i="65"/>
  <c r="K39" i="65" a="1"/>
  <c r="K39" i="65" s="1"/>
  <c r="K43" i="65" s="1"/>
  <c r="X22" i="65"/>
  <c r="AL22" i="64"/>
  <c r="T10" i="64"/>
  <c r="N26" i="64" s="1"/>
  <c r="AE14" i="64"/>
  <c r="AB31" i="64" s="1"/>
  <c r="AH7" i="64"/>
  <c r="AH14" i="64" s="1"/>
  <c r="AB30" i="64" s="1"/>
  <c r="Y40" i="64" s="1" a="1"/>
  <c r="Q10" i="64"/>
  <c r="N27" i="64" s="1"/>
  <c r="K36" i="64" s="1" a="1"/>
  <c r="K37" i="64" s="1"/>
  <c r="AZ21" i="62"/>
  <c r="X22" i="62"/>
  <c r="BY19" i="61"/>
  <c r="BV36" i="61" s="1"/>
  <c r="CB7" i="61"/>
  <c r="CB19" i="61" s="1"/>
  <c r="BV35" i="61" s="1"/>
  <c r="CF20" i="61"/>
  <c r="AZ7" i="61"/>
  <c r="AW26" i="61"/>
  <c r="AT43" i="61" s="1"/>
  <c r="AZ23" i="61"/>
  <c r="BD21" i="61"/>
  <c r="X26" i="61"/>
  <c r="Q34" i="61"/>
  <c r="N51" i="61" s="1"/>
  <c r="T18" i="61"/>
  <c r="T34" i="61" s="1"/>
  <c r="N50" i="61" s="1"/>
  <c r="K60" i="61" s="1" a="1"/>
  <c r="CB17" i="72"/>
  <c r="X24" i="72"/>
  <c r="Y23" i="72"/>
  <c r="AY7" i="45"/>
  <c r="AY8" i="45"/>
  <c r="AY9" i="45"/>
  <c r="AY10" i="45"/>
  <c r="AY11" i="45"/>
  <c r="AY12" i="45"/>
  <c r="AY13" i="45"/>
  <c r="AY14" i="45"/>
  <c r="AY15" i="45"/>
  <c r="AY16" i="45"/>
  <c r="AY17" i="45"/>
  <c r="AY18" i="45"/>
  <c r="AY19" i="45"/>
  <c r="AY20" i="45"/>
  <c r="AY21" i="45"/>
  <c r="AY22" i="45"/>
  <c r="AY23" i="45"/>
  <c r="AY24" i="45"/>
  <c r="AY25" i="45"/>
  <c r="AY26" i="45"/>
  <c r="AY27" i="45"/>
  <c r="AY28" i="45"/>
  <c r="AY29" i="45"/>
  <c r="AY30" i="45"/>
  <c r="AY31" i="45"/>
  <c r="AY32" i="45"/>
  <c r="AY33" i="45"/>
  <c r="AY34" i="45"/>
  <c r="AY35" i="45"/>
  <c r="AY36" i="45"/>
  <c r="AY37" i="45"/>
  <c r="AY38" i="45"/>
  <c r="AY39" i="45"/>
  <c r="AY40" i="45"/>
  <c r="AY41" i="45"/>
  <c r="AY42" i="45"/>
  <c r="AY43" i="45"/>
  <c r="AY44" i="45"/>
  <c r="AY45" i="45"/>
  <c r="AY46" i="45"/>
  <c r="AY47" i="45"/>
  <c r="AY48" i="45"/>
  <c r="AY49" i="45"/>
  <c r="AY50" i="45"/>
  <c r="AY51" i="45"/>
  <c r="AY52" i="45"/>
  <c r="AY53" i="45"/>
  <c r="AY54" i="45"/>
  <c r="AY55" i="45"/>
  <c r="AY56" i="45"/>
  <c r="AY57" i="45"/>
  <c r="AY58" i="45"/>
  <c r="AY59" i="45"/>
  <c r="AY60" i="45"/>
  <c r="AY61" i="45"/>
  <c r="AY62" i="45"/>
  <c r="AY63" i="45"/>
  <c r="AY64" i="45"/>
  <c r="AY65" i="45"/>
  <c r="AY66" i="45"/>
  <c r="AY67" i="45"/>
  <c r="AY68" i="45"/>
  <c r="AY69" i="45"/>
  <c r="AY70" i="45"/>
  <c r="AY71" i="45"/>
  <c r="AY72" i="45"/>
  <c r="AY73" i="45"/>
  <c r="AY74" i="45"/>
  <c r="AY75" i="45"/>
  <c r="AY76" i="45"/>
  <c r="AY77" i="45"/>
  <c r="AY78" i="45"/>
  <c r="AY79" i="45"/>
  <c r="AX7" i="45"/>
  <c r="AX8" i="45"/>
  <c r="AX9" i="45"/>
  <c r="AX10" i="45"/>
  <c r="AX11" i="45"/>
  <c r="AX12" i="45"/>
  <c r="AX13" i="45"/>
  <c r="AX14" i="45"/>
  <c r="AX15" i="45"/>
  <c r="AX16" i="45"/>
  <c r="AX17" i="45"/>
  <c r="AX18" i="45"/>
  <c r="AX19" i="45"/>
  <c r="AX20" i="45"/>
  <c r="AX21" i="45"/>
  <c r="AX22" i="45"/>
  <c r="AX23" i="45"/>
  <c r="AX24" i="45"/>
  <c r="AX25" i="45"/>
  <c r="AX26" i="45"/>
  <c r="AX27" i="45"/>
  <c r="AX28" i="45"/>
  <c r="AX29" i="45"/>
  <c r="AX30" i="45"/>
  <c r="AX31" i="45"/>
  <c r="AX32" i="45"/>
  <c r="AX33" i="45"/>
  <c r="AX34" i="45"/>
  <c r="AX35" i="45"/>
  <c r="AX36" i="45"/>
  <c r="AX37" i="45"/>
  <c r="AX38" i="45"/>
  <c r="AX39" i="45"/>
  <c r="AX40" i="45"/>
  <c r="AX41" i="45"/>
  <c r="AX42" i="45"/>
  <c r="AX43" i="45"/>
  <c r="AX44" i="45"/>
  <c r="AX45" i="45"/>
  <c r="AX46" i="45"/>
  <c r="AX47" i="45"/>
  <c r="AX48" i="45"/>
  <c r="AX49" i="45"/>
  <c r="AX50" i="45"/>
  <c r="AX51" i="45"/>
  <c r="AX52" i="45"/>
  <c r="AX53" i="45"/>
  <c r="AX54" i="45"/>
  <c r="AX55" i="45"/>
  <c r="AX56" i="45"/>
  <c r="AX57" i="45"/>
  <c r="AX58" i="45"/>
  <c r="AX59" i="45"/>
  <c r="AX60" i="45"/>
  <c r="AX61" i="45"/>
  <c r="AX62" i="45"/>
  <c r="AX63" i="45"/>
  <c r="AX64" i="45"/>
  <c r="AX65" i="45"/>
  <c r="AX66" i="45"/>
  <c r="AX67" i="45"/>
  <c r="AX68" i="45"/>
  <c r="AX69" i="45"/>
  <c r="AX70" i="45"/>
  <c r="AX71" i="45"/>
  <c r="AX72" i="45"/>
  <c r="AX73" i="45"/>
  <c r="AX74" i="45"/>
  <c r="AX75" i="45"/>
  <c r="AX76" i="45"/>
  <c r="AX77" i="45"/>
  <c r="AX78" i="45"/>
  <c r="AX79" i="45"/>
  <c r="AW7" i="45"/>
  <c r="AW8" i="45"/>
  <c r="AW9" i="45"/>
  <c r="AW10" i="45"/>
  <c r="AW11" i="45"/>
  <c r="AW12" i="45"/>
  <c r="AW13" i="45"/>
  <c r="AW14" i="45"/>
  <c r="AW15" i="45"/>
  <c r="AW16" i="45"/>
  <c r="AW17" i="45"/>
  <c r="AW18" i="45"/>
  <c r="AW19" i="45"/>
  <c r="AW20" i="45"/>
  <c r="AW21" i="45"/>
  <c r="AW22" i="45"/>
  <c r="AW23" i="45"/>
  <c r="AW24" i="45"/>
  <c r="AW25" i="45"/>
  <c r="AW26" i="45"/>
  <c r="AW27" i="45"/>
  <c r="AW28" i="45"/>
  <c r="AW29" i="45"/>
  <c r="AW30" i="45"/>
  <c r="AW31" i="45"/>
  <c r="AW32" i="45"/>
  <c r="AW33" i="45"/>
  <c r="AW34" i="45"/>
  <c r="AW35" i="45"/>
  <c r="AW36" i="45"/>
  <c r="AW37" i="45"/>
  <c r="AW38" i="45"/>
  <c r="AW39" i="45"/>
  <c r="AW40" i="45"/>
  <c r="AW41" i="45"/>
  <c r="AW42" i="45"/>
  <c r="AW43" i="45"/>
  <c r="AW44" i="45"/>
  <c r="AW45" i="45"/>
  <c r="AW46" i="45"/>
  <c r="AW47" i="45"/>
  <c r="AW48" i="45"/>
  <c r="AW49" i="45"/>
  <c r="AW50" i="45"/>
  <c r="AW51" i="45"/>
  <c r="AW52" i="45"/>
  <c r="AW53" i="45"/>
  <c r="AW54" i="45"/>
  <c r="AW55" i="45"/>
  <c r="AW56" i="45"/>
  <c r="AW57" i="45"/>
  <c r="AW58" i="45"/>
  <c r="AW59" i="45"/>
  <c r="AW60" i="45"/>
  <c r="AW61" i="45"/>
  <c r="AW62" i="45"/>
  <c r="AW63" i="45"/>
  <c r="AW64" i="45"/>
  <c r="AW65" i="45"/>
  <c r="AW66" i="45"/>
  <c r="AW67" i="45"/>
  <c r="AW68" i="45"/>
  <c r="AW69" i="45"/>
  <c r="AW70" i="45"/>
  <c r="AW71" i="45"/>
  <c r="AW72" i="45"/>
  <c r="AW73" i="45"/>
  <c r="AW74" i="45"/>
  <c r="AW75" i="45"/>
  <c r="AW76" i="45"/>
  <c r="AW77" i="45"/>
  <c r="AW78" i="45"/>
  <c r="AW79" i="45"/>
  <c r="AV7" i="45"/>
  <c r="AV8" i="45"/>
  <c r="AV9" i="45"/>
  <c r="AV10" i="45"/>
  <c r="AV11" i="45"/>
  <c r="AV12" i="45"/>
  <c r="AV13" i="45"/>
  <c r="AV14" i="45"/>
  <c r="AV15" i="45"/>
  <c r="AV16" i="45"/>
  <c r="AV17" i="45"/>
  <c r="AV18" i="45"/>
  <c r="AV19" i="45"/>
  <c r="AV20" i="45"/>
  <c r="AV21" i="45"/>
  <c r="AV22" i="45"/>
  <c r="AV23" i="45"/>
  <c r="AV24" i="45"/>
  <c r="AV25" i="45"/>
  <c r="AV26" i="45"/>
  <c r="AV27" i="45"/>
  <c r="AV28" i="45"/>
  <c r="AV29" i="45"/>
  <c r="AV30" i="45"/>
  <c r="AV31" i="45"/>
  <c r="AV32" i="45"/>
  <c r="AV33" i="45"/>
  <c r="AV34" i="45"/>
  <c r="AV35" i="45"/>
  <c r="AV36" i="45"/>
  <c r="AV37" i="45"/>
  <c r="AV38" i="45"/>
  <c r="AV39" i="45"/>
  <c r="AV40" i="45"/>
  <c r="AV41" i="45"/>
  <c r="AV42" i="45"/>
  <c r="AV43" i="45"/>
  <c r="AV44" i="45"/>
  <c r="AV45" i="45"/>
  <c r="AV46" i="45"/>
  <c r="AV47" i="45"/>
  <c r="AV48" i="45"/>
  <c r="AV49" i="45"/>
  <c r="AV50" i="45"/>
  <c r="AV51" i="45"/>
  <c r="AV52" i="45"/>
  <c r="AV53" i="45"/>
  <c r="AV54" i="45"/>
  <c r="AV55" i="45"/>
  <c r="AV56" i="45"/>
  <c r="AV57" i="45"/>
  <c r="AV58" i="45"/>
  <c r="AV59" i="45"/>
  <c r="AV60" i="45"/>
  <c r="AV61" i="45"/>
  <c r="AV62" i="45"/>
  <c r="AV63" i="45"/>
  <c r="AV64" i="45"/>
  <c r="AV65" i="45"/>
  <c r="AV66" i="45"/>
  <c r="AV67" i="45"/>
  <c r="AV68" i="45"/>
  <c r="AV69" i="45"/>
  <c r="AV70" i="45"/>
  <c r="AV71" i="45"/>
  <c r="AV72" i="45"/>
  <c r="AV73" i="45"/>
  <c r="AV74" i="45"/>
  <c r="AV75" i="45"/>
  <c r="AV76" i="45"/>
  <c r="AV77" i="45"/>
  <c r="AV78" i="45"/>
  <c r="AV79" i="45"/>
  <c r="AU7" i="45"/>
  <c r="AU8" i="45"/>
  <c r="AU9" i="45"/>
  <c r="AU10" i="45"/>
  <c r="AU11" i="45"/>
  <c r="AU12" i="45"/>
  <c r="AU13" i="45"/>
  <c r="AU14" i="45"/>
  <c r="AU15" i="45"/>
  <c r="AU16" i="45"/>
  <c r="AU17" i="45"/>
  <c r="AU18" i="45"/>
  <c r="AU19" i="45"/>
  <c r="AU20" i="45"/>
  <c r="AU21" i="45"/>
  <c r="AU22" i="45"/>
  <c r="AU23" i="45"/>
  <c r="AU24" i="45"/>
  <c r="AU25" i="45"/>
  <c r="AU26" i="45"/>
  <c r="AU27" i="45"/>
  <c r="AU28" i="45"/>
  <c r="AU29" i="45"/>
  <c r="AU30" i="45"/>
  <c r="AU31" i="45"/>
  <c r="AU32" i="45"/>
  <c r="AU33" i="45"/>
  <c r="AU34" i="45"/>
  <c r="AU35" i="45"/>
  <c r="AU36" i="45"/>
  <c r="AU37" i="45"/>
  <c r="AU38" i="45"/>
  <c r="AU39" i="45"/>
  <c r="AU40" i="45"/>
  <c r="AU41" i="45"/>
  <c r="AU42" i="45"/>
  <c r="AU43" i="45"/>
  <c r="AU44" i="45"/>
  <c r="AU45" i="45"/>
  <c r="AU46" i="45"/>
  <c r="AU47" i="45"/>
  <c r="AU48" i="45"/>
  <c r="AU49" i="45"/>
  <c r="AU50" i="45"/>
  <c r="AU51" i="45"/>
  <c r="AU52" i="45"/>
  <c r="AU53" i="45"/>
  <c r="AU54" i="45"/>
  <c r="AU55" i="45"/>
  <c r="AU56" i="45"/>
  <c r="AU57" i="45"/>
  <c r="AU58" i="45"/>
  <c r="AU59" i="45"/>
  <c r="AU60" i="45"/>
  <c r="AU61" i="45"/>
  <c r="AU62" i="45"/>
  <c r="AU63" i="45"/>
  <c r="AU64" i="45"/>
  <c r="AU65" i="45"/>
  <c r="AU66" i="45"/>
  <c r="AU67" i="45"/>
  <c r="AU68" i="45"/>
  <c r="AU69" i="45"/>
  <c r="AU70" i="45"/>
  <c r="AU71" i="45"/>
  <c r="AU72" i="45"/>
  <c r="AU73" i="45"/>
  <c r="AU74" i="45"/>
  <c r="AU75" i="45"/>
  <c r="AU76" i="45"/>
  <c r="AU77" i="45"/>
  <c r="AU78" i="45"/>
  <c r="AU79" i="45"/>
  <c r="AT7" i="45"/>
  <c r="AT8" i="45"/>
  <c r="AT9" i="45"/>
  <c r="AT10" i="45"/>
  <c r="AT11" i="45"/>
  <c r="AT12" i="45"/>
  <c r="AT13" i="45"/>
  <c r="AT14" i="45"/>
  <c r="AT15" i="45"/>
  <c r="AT16" i="45"/>
  <c r="AT17" i="45"/>
  <c r="AT18" i="45"/>
  <c r="AT19" i="45"/>
  <c r="AT20" i="45"/>
  <c r="AT21" i="45"/>
  <c r="AT22" i="45"/>
  <c r="AT23" i="45"/>
  <c r="AT24" i="45"/>
  <c r="AT25" i="45"/>
  <c r="AT26" i="45"/>
  <c r="AT27" i="45"/>
  <c r="AT28" i="45"/>
  <c r="AT29" i="45"/>
  <c r="AT30" i="45"/>
  <c r="AT31" i="45"/>
  <c r="AT32" i="45"/>
  <c r="AT33" i="45"/>
  <c r="AT34" i="45"/>
  <c r="AT35" i="45"/>
  <c r="AT36" i="45"/>
  <c r="AT37" i="45"/>
  <c r="AT38" i="45"/>
  <c r="AT39" i="45"/>
  <c r="AT40" i="45"/>
  <c r="AT41" i="45"/>
  <c r="AT42" i="45"/>
  <c r="AT43" i="45"/>
  <c r="AT44" i="45"/>
  <c r="AT45" i="45"/>
  <c r="AT46" i="45"/>
  <c r="AT47" i="45"/>
  <c r="AT48" i="45"/>
  <c r="AT49" i="45"/>
  <c r="AT50" i="45"/>
  <c r="AT51" i="45"/>
  <c r="AT52" i="45"/>
  <c r="AT53" i="45"/>
  <c r="AT54" i="45"/>
  <c r="AT55" i="45"/>
  <c r="AT56" i="45"/>
  <c r="AT57" i="45"/>
  <c r="AT58" i="45"/>
  <c r="AT59" i="45"/>
  <c r="AT60" i="45"/>
  <c r="AT61" i="45"/>
  <c r="AT62" i="45"/>
  <c r="AT63" i="45"/>
  <c r="AT64" i="45"/>
  <c r="AT65" i="45"/>
  <c r="AT66" i="45"/>
  <c r="AT67" i="45"/>
  <c r="AT68" i="45"/>
  <c r="AT69" i="45"/>
  <c r="AT70" i="45"/>
  <c r="AT71" i="45"/>
  <c r="AT72" i="45"/>
  <c r="AT73" i="45"/>
  <c r="AT74" i="45"/>
  <c r="AT75" i="45"/>
  <c r="AT76" i="45"/>
  <c r="AT77" i="45"/>
  <c r="AT78" i="45"/>
  <c r="AT79" i="45"/>
  <c r="AS7" i="45"/>
  <c r="AS8" i="45"/>
  <c r="AS9" i="45"/>
  <c r="AS10" i="45"/>
  <c r="AS11" i="45"/>
  <c r="AS12" i="45"/>
  <c r="AS13" i="45"/>
  <c r="AS14" i="45"/>
  <c r="AS15" i="45"/>
  <c r="AS16" i="45"/>
  <c r="AS17" i="45"/>
  <c r="AS18" i="45"/>
  <c r="AS19" i="45"/>
  <c r="AS20" i="45"/>
  <c r="AS21" i="45"/>
  <c r="AS22" i="45"/>
  <c r="AS23" i="45"/>
  <c r="AS24" i="45"/>
  <c r="AS25" i="45"/>
  <c r="AS26" i="45"/>
  <c r="AS27" i="45"/>
  <c r="AS28" i="45"/>
  <c r="AS29" i="45"/>
  <c r="AS30" i="45"/>
  <c r="AS31" i="45"/>
  <c r="AS32" i="45"/>
  <c r="AS33" i="45"/>
  <c r="AS34" i="45"/>
  <c r="AS35" i="45"/>
  <c r="AS36" i="45"/>
  <c r="AS37" i="45"/>
  <c r="AS38" i="45"/>
  <c r="AS39" i="45"/>
  <c r="AS40" i="45"/>
  <c r="AS41" i="45"/>
  <c r="AS42" i="45"/>
  <c r="AS43" i="45"/>
  <c r="AS44" i="45"/>
  <c r="AS45" i="45"/>
  <c r="AS46" i="45"/>
  <c r="AS47" i="45"/>
  <c r="AS48" i="45"/>
  <c r="AS49" i="45"/>
  <c r="AS50" i="45"/>
  <c r="AS51" i="45"/>
  <c r="AS52" i="45"/>
  <c r="AS53" i="45"/>
  <c r="AS54" i="45"/>
  <c r="AS55" i="45"/>
  <c r="AS56" i="45"/>
  <c r="AS57" i="45"/>
  <c r="AS58" i="45"/>
  <c r="AS59" i="45"/>
  <c r="AS60" i="45"/>
  <c r="AS61" i="45"/>
  <c r="AS62" i="45"/>
  <c r="AS63" i="45"/>
  <c r="AS64" i="45"/>
  <c r="AS65" i="45"/>
  <c r="AS66" i="45"/>
  <c r="AS67" i="45"/>
  <c r="AS68" i="45"/>
  <c r="AS69" i="45"/>
  <c r="AS70" i="45"/>
  <c r="AS71" i="45"/>
  <c r="AS72" i="45"/>
  <c r="AS73" i="45"/>
  <c r="AS74" i="45"/>
  <c r="AS75" i="45"/>
  <c r="AS76" i="45"/>
  <c r="AS77" i="45"/>
  <c r="AS78" i="45"/>
  <c r="AS79" i="45"/>
  <c r="AR7" i="45"/>
  <c r="AR8" i="45"/>
  <c r="AR9" i="45"/>
  <c r="AR10" i="45"/>
  <c r="AR11" i="45"/>
  <c r="AR12" i="45"/>
  <c r="AR13" i="45"/>
  <c r="AR14" i="45"/>
  <c r="AR15" i="45"/>
  <c r="AR16" i="45"/>
  <c r="AR17" i="45"/>
  <c r="AR18" i="45"/>
  <c r="AR19" i="45"/>
  <c r="AR20" i="45"/>
  <c r="AR21" i="45"/>
  <c r="AR22" i="45"/>
  <c r="AR23" i="45"/>
  <c r="AR24" i="45"/>
  <c r="AR25" i="45"/>
  <c r="AR26" i="45"/>
  <c r="AR27" i="45"/>
  <c r="AR28" i="45"/>
  <c r="AR29" i="45"/>
  <c r="AR30" i="45"/>
  <c r="AR31" i="45"/>
  <c r="AR32" i="45"/>
  <c r="AR33" i="45"/>
  <c r="AR34" i="45"/>
  <c r="AR35" i="45"/>
  <c r="AR36" i="45"/>
  <c r="AR37" i="45"/>
  <c r="AR38" i="45"/>
  <c r="AR39" i="45"/>
  <c r="AR40" i="45"/>
  <c r="AR41" i="45"/>
  <c r="AR42" i="45"/>
  <c r="AR43" i="45"/>
  <c r="AR44" i="45"/>
  <c r="AR45" i="45"/>
  <c r="AR46" i="45"/>
  <c r="AR47" i="45"/>
  <c r="AR48" i="45"/>
  <c r="AR49" i="45"/>
  <c r="AR50" i="45"/>
  <c r="AR51" i="45"/>
  <c r="AR52" i="45"/>
  <c r="AR53" i="45"/>
  <c r="AR54" i="45"/>
  <c r="AR55" i="45"/>
  <c r="AR56" i="45"/>
  <c r="AR57" i="45"/>
  <c r="AR58" i="45"/>
  <c r="AR59" i="45"/>
  <c r="AR60" i="45"/>
  <c r="AR61" i="45"/>
  <c r="AR62" i="45"/>
  <c r="AR63" i="45"/>
  <c r="AR64" i="45"/>
  <c r="AR65" i="45"/>
  <c r="AR66" i="45"/>
  <c r="AR67" i="45"/>
  <c r="AR68" i="45"/>
  <c r="AR69" i="45"/>
  <c r="AR70" i="45"/>
  <c r="AR71" i="45"/>
  <c r="AR72" i="45"/>
  <c r="AR73" i="45"/>
  <c r="AR74" i="45"/>
  <c r="AR75" i="45"/>
  <c r="AR76" i="45"/>
  <c r="AR77" i="45"/>
  <c r="AR78" i="45"/>
  <c r="AR79" i="45"/>
  <c r="AQ7" i="45"/>
  <c r="AQ8" i="45"/>
  <c r="AQ9" i="45"/>
  <c r="AQ10" i="45"/>
  <c r="AQ11" i="45"/>
  <c r="AQ12" i="45"/>
  <c r="AQ13" i="45"/>
  <c r="AQ14" i="45"/>
  <c r="AQ15" i="45"/>
  <c r="AQ16" i="45"/>
  <c r="AQ17" i="45"/>
  <c r="AQ18" i="45"/>
  <c r="AQ19" i="45"/>
  <c r="AQ20" i="45"/>
  <c r="AQ21" i="45"/>
  <c r="AQ22" i="45"/>
  <c r="AQ23" i="45"/>
  <c r="AQ24" i="45"/>
  <c r="AQ25" i="45"/>
  <c r="AQ26" i="45"/>
  <c r="AQ27" i="45"/>
  <c r="AQ28" i="45"/>
  <c r="AQ29" i="45"/>
  <c r="AQ30" i="45"/>
  <c r="AQ31" i="45"/>
  <c r="AQ32" i="45"/>
  <c r="AQ33" i="45"/>
  <c r="AQ34" i="45"/>
  <c r="AQ35" i="45"/>
  <c r="AQ36" i="45"/>
  <c r="AQ37" i="45"/>
  <c r="AQ38" i="45"/>
  <c r="AQ39" i="45"/>
  <c r="AQ40" i="45"/>
  <c r="AQ41" i="45"/>
  <c r="AQ42" i="45"/>
  <c r="AQ43" i="45"/>
  <c r="AQ44" i="45"/>
  <c r="AQ45" i="45"/>
  <c r="AQ46" i="45"/>
  <c r="AQ47" i="45"/>
  <c r="AQ48" i="45"/>
  <c r="AQ49" i="45"/>
  <c r="AQ50" i="45"/>
  <c r="AQ51" i="45"/>
  <c r="AQ52" i="45"/>
  <c r="AQ53" i="45"/>
  <c r="AQ54" i="45"/>
  <c r="AQ55" i="45"/>
  <c r="AQ56" i="45"/>
  <c r="AQ57" i="45"/>
  <c r="AQ58" i="45"/>
  <c r="AQ59" i="45"/>
  <c r="AQ60" i="45"/>
  <c r="AQ61" i="45"/>
  <c r="AQ62" i="45"/>
  <c r="AQ63" i="45"/>
  <c r="AQ64" i="45"/>
  <c r="AQ65" i="45"/>
  <c r="AQ66" i="45"/>
  <c r="AQ67" i="45"/>
  <c r="AQ68" i="45"/>
  <c r="AQ69" i="45"/>
  <c r="AQ70" i="45"/>
  <c r="AQ71" i="45"/>
  <c r="AQ72" i="45"/>
  <c r="AQ73" i="45"/>
  <c r="AQ74" i="45"/>
  <c r="AQ75" i="45"/>
  <c r="AQ76" i="45"/>
  <c r="AQ77" i="45"/>
  <c r="AQ78" i="45"/>
  <c r="AQ79" i="45"/>
  <c r="AP7" i="45"/>
  <c r="AP8" i="45"/>
  <c r="AP9" i="45"/>
  <c r="AP10" i="45"/>
  <c r="AP11" i="45"/>
  <c r="AP12" i="45"/>
  <c r="AP13" i="45"/>
  <c r="AP14" i="45"/>
  <c r="AP15" i="45"/>
  <c r="AP16" i="45"/>
  <c r="AP17" i="45"/>
  <c r="AP18" i="45"/>
  <c r="AP19" i="45"/>
  <c r="AP20" i="45"/>
  <c r="AP21" i="45"/>
  <c r="AP22" i="45"/>
  <c r="AP23" i="45"/>
  <c r="AP24" i="45"/>
  <c r="AP25" i="45"/>
  <c r="AP26" i="45"/>
  <c r="AP27" i="45"/>
  <c r="AP28" i="45"/>
  <c r="AP29" i="45"/>
  <c r="AP30" i="45"/>
  <c r="AP31" i="45"/>
  <c r="AP32" i="45"/>
  <c r="AP33" i="45"/>
  <c r="AP34" i="45"/>
  <c r="AP35" i="45"/>
  <c r="AP36" i="45"/>
  <c r="AP37" i="45"/>
  <c r="AP38" i="45"/>
  <c r="AP39" i="45"/>
  <c r="AP40" i="45"/>
  <c r="AP41" i="45"/>
  <c r="AP42" i="45"/>
  <c r="AP43" i="45"/>
  <c r="AP44" i="45"/>
  <c r="AP45" i="45"/>
  <c r="AP46" i="45"/>
  <c r="AP47" i="45"/>
  <c r="AP48" i="45"/>
  <c r="AP49" i="45"/>
  <c r="AP50" i="45"/>
  <c r="AP51" i="45"/>
  <c r="AP52" i="45"/>
  <c r="AP53" i="45"/>
  <c r="AP54" i="45"/>
  <c r="AP55" i="45"/>
  <c r="AP56" i="45"/>
  <c r="AP57" i="45"/>
  <c r="AP58" i="45"/>
  <c r="AP59" i="45"/>
  <c r="AP60" i="45"/>
  <c r="AP61" i="45"/>
  <c r="AP62" i="45"/>
  <c r="AP63" i="45"/>
  <c r="AP64" i="45"/>
  <c r="AP65" i="45"/>
  <c r="AP66" i="45"/>
  <c r="AP67" i="45"/>
  <c r="AP68" i="45"/>
  <c r="AP69" i="45"/>
  <c r="AP70" i="45"/>
  <c r="AP71" i="45"/>
  <c r="AP72" i="45"/>
  <c r="AP73" i="45"/>
  <c r="AP74" i="45"/>
  <c r="AP75" i="45"/>
  <c r="AP76" i="45"/>
  <c r="AP77" i="45"/>
  <c r="AP78" i="45"/>
  <c r="AP79" i="45"/>
  <c r="AO7" i="45"/>
  <c r="AO8" i="45"/>
  <c r="AO9" i="45"/>
  <c r="AO10" i="45"/>
  <c r="AO11" i="45"/>
  <c r="AO12" i="45"/>
  <c r="AO13" i="45"/>
  <c r="AO14" i="45"/>
  <c r="AO15" i="45"/>
  <c r="AO16" i="45"/>
  <c r="AO17" i="45"/>
  <c r="AO18" i="45"/>
  <c r="AO19" i="45"/>
  <c r="AO20" i="45"/>
  <c r="AO21" i="45"/>
  <c r="AO22" i="45"/>
  <c r="AO23" i="45"/>
  <c r="AO24" i="45"/>
  <c r="AO25" i="45"/>
  <c r="AO26" i="45"/>
  <c r="AO27" i="45"/>
  <c r="AO28" i="45"/>
  <c r="AO29" i="45"/>
  <c r="AO30" i="45"/>
  <c r="AO31" i="45"/>
  <c r="AO32" i="45"/>
  <c r="AO33" i="45"/>
  <c r="AO34" i="45"/>
  <c r="AO35" i="45"/>
  <c r="AO36" i="45"/>
  <c r="AO37" i="45"/>
  <c r="AO38" i="45"/>
  <c r="AO39" i="45"/>
  <c r="AO40" i="45"/>
  <c r="AO41" i="45"/>
  <c r="AO42" i="45"/>
  <c r="AO43" i="45"/>
  <c r="AO44" i="45"/>
  <c r="AO45" i="45"/>
  <c r="AO46" i="45"/>
  <c r="AO47" i="45"/>
  <c r="AO48" i="45"/>
  <c r="AO49" i="45"/>
  <c r="AO50" i="45"/>
  <c r="AO51" i="45"/>
  <c r="AO52" i="45"/>
  <c r="AO53" i="45"/>
  <c r="AO54" i="45"/>
  <c r="AO55" i="45"/>
  <c r="AO56" i="45"/>
  <c r="AO57" i="45"/>
  <c r="AO58" i="45"/>
  <c r="AO59" i="45"/>
  <c r="AO60" i="45"/>
  <c r="AO61" i="45"/>
  <c r="AO62" i="45"/>
  <c r="AO63" i="45"/>
  <c r="AO64" i="45"/>
  <c r="AO65" i="45"/>
  <c r="AO66" i="45"/>
  <c r="AO67" i="45"/>
  <c r="AO68" i="45"/>
  <c r="AO69" i="45"/>
  <c r="AO70" i="45"/>
  <c r="AO71" i="45"/>
  <c r="AO72" i="45"/>
  <c r="AO73" i="45"/>
  <c r="AO74" i="45"/>
  <c r="AO75" i="45"/>
  <c r="AO76" i="45"/>
  <c r="AO77" i="45"/>
  <c r="AO78" i="45"/>
  <c r="AO79" i="45"/>
  <c r="AN7" i="45"/>
  <c r="AN8" i="45"/>
  <c r="AN9" i="45"/>
  <c r="AN10" i="45"/>
  <c r="AN11" i="45"/>
  <c r="AN12" i="45"/>
  <c r="AN13" i="45"/>
  <c r="AN14" i="45"/>
  <c r="AN15" i="45"/>
  <c r="AN16" i="45"/>
  <c r="AN17" i="45"/>
  <c r="AN18" i="45"/>
  <c r="AN19" i="45"/>
  <c r="AN20" i="45"/>
  <c r="AN21" i="45"/>
  <c r="AN22" i="45"/>
  <c r="AN23" i="45"/>
  <c r="AN24" i="45"/>
  <c r="AN25" i="45"/>
  <c r="AN26" i="45"/>
  <c r="AN27" i="45"/>
  <c r="AN28" i="45"/>
  <c r="AN29" i="45"/>
  <c r="AN30" i="45"/>
  <c r="AN31" i="45"/>
  <c r="AN32" i="45"/>
  <c r="AN33" i="45"/>
  <c r="AN34" i="45"/>
  <c r="AN35" i="45"/>
  <c r="AN36" i="45"/>
  <c r="AN37" i="45"/>
  <c r="AN38" i="45"/>
  <c r="AN39" i="45"/>
  <c r="AN40" i="45"/>
  <c r="AN41" i="45"/>
  <c r="AN42" i="45"/>
  <c r="AN43" i="45"/>
  <c r="AN44" i="45"/>
  <c r="AN45" i="45"/>
  <c r="AN46" i="45"/>
  <c r="AN47" i="45"/>
  <c r="AN48" i="45"/>
  <c r="AN49" i="45"/>
  <c r="AN50" i="45"/>
  <c r="AN51" i="45"/>
  <c r="AN52" i="45"/>
  <c r="AN53" i="45"/>
  <c r="AN54" i="45"/>
  <c r="AN55" i="45"/>
  <c r="AN56" i="45"/>
  <c r="AN57" i="45"/>
  <c r="AN58" i="45"/>
  <c r="AN59" i="45"/>
  <c r="AN60" i="45"/>
  <c r="AN61" i="45"/>
  <c r="AN62" i="45"/>
  <c r="AN63" i="45"/>
  <c r="AN64" i="45"/>
  <c r="AN65" i="45"/>
  <c r="AN66" i="45"/>
  <c r="AN67" i="45"/>
  <c r="AN68" i="45"/>
  <c r="AN69" i="45"/>
  <c r="AN70" i="45"/>
  <c r="AN71" i="45"/>
  <c r="AN72" i="45"/>
  <c r="AN73" i="45"/>
  <c r="AN74" i="45"/>
  <c r="AN75" i="45"/>
  <c r="AN76" i="45"/>
  <c r="AN77" i="45"/>
  <c r="AN78" i="45"/>
  <c r="AN79" i="45"/>
  <c r="AM7" i="45"/>
  <c r="AM8" i="45"/>
  <c r="AM9" i="45"/>
  <c r="AM10" i="45"/>
  <c r="AM11" i="45"/>
  <c r="AM12" i="45"/>
  <c r="AM13" i="45"/>
  <c r="AM14" i="45"/>
  <c r="AM15" i="45"/>
  <c r="AM16" i="45"/>
  <c r="AM17" i="45"/>
  <c r="AM18" i="45"/>
  <c r="AM19" i="45"/>
  <c r="AM20" i="45"/>
  <c r="AM21" i="45"/>
  <c r="AM22" i="45"/>
  <c r="AM23" i="45"/>
  <c r="AM24" i="45"/>
  <c r="AM25" i="45"/>
  <c r="AM26" i="45"/>
  <c r="AM27" i="45"/>
  <c r="AM28" i="45"/>
  <c r="AM29" i="45"/>
  <c r="AM30" i="45"/>
  <c r="AM31" i="45"/>
  <c r="AM32" i="45"/>
  <c r="AM33" i="45"/>
  <c r="AM34" i="45"/>
  <c r="AM35" i="45"/>
  <c r="AM36" i="45"/>
  <c r="AM37" i="45"/>
  <c r="AM38" i="45"/>
  <c r="AM39" i="45"/>
  <c r="AM40" i="45"/>
  <c r="AM41" i="45"/>
  <c r="AM42" i="45"/>
  <c r="AM43" i="45"/>
  <c r="AM44" i="45"/>
  <c r="AM45" i="45"/>
  <c r="AM46" i="45"/>
  <c r="AM47" i="45"/>
  <c r="AM48" i="45"/>
  <c r="AM49" i="45"/>
  <c r="AM50" i="45"/>
  <c r="AM51" i="45"/>
  <c r="AM52" i="45"/>
  <c r="AM53" i="45"/>
  <c r="AM54" i="45"/>
  <c r="AM55" i="45"/>
  <c r="AM56" i="45"/>
  <c r="AM57" i="45"/>
  <c r="AM58" i="45"/>
  <c r="AM59" i="45"/>
  <c r="AM60" i="45"/>
  <c r="AM61" i="45"/>
  <c r="AM62" i="45"/>
  <c r="AM63" i="45"/>
  <c r="AM64" i="45"/>
  <c r="AM65" i="45"/>
  <c r="AM66" i="45"/>
  <c r="AM67" i="45"/>
  <c r="AM68" i="45"/>
  <c r="AM69" i="45"/>
  <c r="AM70" i="45"/>
  <c r="AM71" i="45"/>
  <c r="AM72" i="45"/>
  <c r="AM73" i="45"/>
  <c r="AM74" i="45"/>
  <c r="AM75" i="45"/>
  <c r="AM76" i="45"/>
  <c r="AM77" i="45"/>
  <c r="AM78" i="45"/>
  <c r="AM79" i="45"/>
  <c r="AL7" i="45"/>
  <c r="AL8" i="45"/>
  <c r="AL9" i="45"/>
  <c r="AL10" i="45"/>
  <c r="AL11" i="45"/>
  <c r="AL12" i="45"/>
  <c r="AL13" i="45"/>
  <c r="AL14" i="45"/>
  <c r="AL15" i="45"/>
  <c r="AL16" i="45"/>
  <c r="AL17" i="45"/>
  <c r="AL18" i="45"/>
  <c r="AL19" i="45"/>
  <c r="AL20" i="45"/>
  <c r="AL21" i="45"/>
  <c r="AL22" i="45"/>
  <c r="AL23" i="45"/>
  <c r="AL24" i="45"/>
  <c r="AL25" i="45"/>
  <c r="AL26" i="45"/>
  <c r="AL27" i="45"/>
  <c r="AL28" i="45"/>
  <c r="AL29" i="45"/>
  <c r="AL30" i="45"/>
  <c r="AL31" i="45"/>
  <c r="AL32" i="45"/>
  <c r="AL33" i="45"/>
  <c r="AL34" i="45"/>
  <c r="AL35" i="45"/>
  <c r="AL36" i="45"/>
  <c r="AL37" i="45"/>
  <c r="AL38" i="45"/>
  <c r="AL39" i="45"/>
  <c r="AL40" i="45"/>
  <c r="AL41" i="45"/>
  <c r="AL42" i="45"/>
  <c r="AL43" i="45"/>
  <c r="AL44" i="45"/>
  <c r="AL45" i="45"/>
  <c r="AL46" i="45"/>
  <c r="AL47" i="45"/>
  <c r="AL48" i="45"/>
  <c r="AL49" i="45"/>
  <c r="AL50" i="45"/>
  <c r="AL51" i="45"/>
  <c r="AL52" i="45"/>
  <c r="AL53" i="45"/>
  <c r="AL54" i="45"/>
  <c r="AL55" i="45"/>
  <c r="AL56" i="45"/>
  <c r="AL57" i="45"/>
  <c r="AL58" i="45"/>
  <c r="AL59" i="45"/>
  <c r="AL60" i="45"/>
  <c r="AL61" i="45"/>
  <c r="AL62" i="45"/>
  <c r="AL63" i="45"/>
  <c r="AL64" i="45"/>
  <c r="AL65" i="45"/>
  <c r="AL66" i="45"/>
  <c r="AL67" i="45"/>
  <c r="AL68" i="45"/>
  <c r="AL69" i="45"/>
  <c r="AL70" i="45"/>
  <c r="AL71" i="45"/>
  <c r="AL72" i="45"/>
  <c r="AL73" i="45"/>
  <c r="AL74" i="45"/>
  <c r="AL75" i="45"/>
  <c r="AL76" i="45"/>
  <c r="AL77" i="45"/>
  <c r="AL78" i="45"/>
  <c r="AL79" i="45"/>
  <c r="AK7" i="45"/>
  <c r="AK8" i="45"/>
  <c r="AK9" i="45"/>
  <c r="AK10" i="45"/>
  <c r="AK11" i="45"/>
  <c r="AK12" i="45"/>
  <c r="AK13" i="45"/>
  <c r="AK14" i="45"/>
  <c r="AK15" i="45"/>
  <c r="AK16" i="45"/>
  <c r="AK17" i="45"/>
  <c r="AK18" i="45"/>
  <c r="AK19" i="45"/>
  <c r="AK20" i="45"/>
  <c r="AK21" i="45"/>
  <c r="AK22" i="45"/>
  <c r="AK23" i="45"/>
  <c r="AK24" i="45"/>
  <c r="AK25" i="45"/>
  <c r="AK26" i="45"/>
  <c r="AK27" i="45"/>
  <c r="AK28" i="45"/>
  <c r="AK29" i="45"/>
  <c r="AK30" i="45"/>
  <c r="AK31" i="45"/>
  <c r="AK32" i="45"/>
  <c r="AK33" i="45"/>
  <c r="AK34" i="45"/>
  <c r="AK35" i="45"/>
  <c r="AK36" i="45"/>
  <c r="AK37" i="45"/>
  <c r="AK38" i="45"/>
  <c r="AK39" i="45"/>
  <c r="AK40" i="45"/>
  <c r="AK41" i="45"/>
  <c r="AK42" i="45"/>
  <c r="AK43" i="45"/>
  <c r="AK44" i="45"/>
  <c r="AK45" i="45"/>
  <c r="AK46" i="45"/>
  <c r="AK47" i="45"/>
  <c r="AK48" i="45"/>
  <c r="AK49" i="45"/>
  <c r="AK50" i="45"/>
  <c r="AK51" i="45"/>
  <c r="AK52" i="45"/>
  <c r="AK53" i="45"/>
  <c r="AK54" i="45"/>
  <c r="AK55" i="45"/>
  <c r="AK56" i="45"/>
  <c r="AK57" i="45"/>
  <c r="AK58" i="45"/>
  <c r="AK59" i="45"/>
  <c r="AK60" i="45"/>
  <c r="AK61" i="45"/>
  <c r="AK62" i="45"/>
  <c r="AK63" i="45"/>
  <c r="AK64" i="45"/>
  <c r="AK65" i="45"/>
  <c r="AK66" i="45"/>
  <c r="AK67" i="45"/>
  <c r="AK68" i="45"/>
  <c r="AK69" i="45"/>
  <c r="AK70" i="45"/>
  <c r="AK71" i="45"/>
  <c r="AK72" i="45"/>
  <c r="AK73" i="45"/>
  <c r="AK74" i="45"/>
  <c r="AK75" i="45"/>
  <c r="AK76" i="45"/>
  <c r="AK77" i="45"/>
  <c r="AK78" i="45"/>
  <c r="AK79" i="45"/>
  <c r="AY6" i="45"/>
  <c r="AX6" i="45"/>
  <c r="AW6" i="45"/>
  <c r="AV6" i="45"/>
  <c r="AU6" i="45"/>
  <c r="AT6" i="45"/>
  <c r="AS6" i="45"/>
  <c r="AR6" i="45"/>
  <c r="AQ6" i="45"/>
  <c r="AP6" i="45"/>
  <c r="AO6" i="45"/>
  <c r="AN6" i="45"/>
  <c r="AM6" i="45"/>
  <c r="AL6" i="45"/>
  <c r="AJ7" i="45"/>
  <c r="AJ8" i="45" s="1"/>
  <c r="Y63" i="45"/>
  <c r="AI63" i="45" s="1"/>
  <c r="X63" i="45"/>
  <c r="Y57" i="45"/>
  <c r="AI57" i="45" s="1"/>
  <c r="X57" i="45"/>
  <c r="AB57" i="45" s="1"/>
  <c r="Y55" i="45"/>
  <c r="X55" i="45"/>
  <c r="AI55" i="45"/>
  <c r="Y51" i="45"/>
  <c r="X51" i="45"/>
  <c r="AI51" i="45"/>
  <c r="Y48" i="45"/>
  <c r="X48" i="45"/>
  <c r="AI48" i="45"/>
  <c r="Y46" i="45"/>
  <c r="X46" i="45"/>
  <c r="AI46" i="45"/>
  <c r="Y42" i="45"/>
  <c r="X42" i="45"/>
  <c r="AI42" i="45"/>
  <c r="Y40" i="45"/>
  <c r="X40" i="45"/>
  <c r="AI40" i="45"/>
  <c r="Y31" i="45"/>
  <c r="X31" i="45"/>
  <c r="AI31" i="45"/>
  <c r="Y29" i="45"/>
  <c r="X29" i="45"/>
  <c r="Y18" i="45"/>
  <c r="X18" i="45"/>
  <c r="AI18" i="45"/>
  <c r="Z49" i="53"/>
  <c r="Z46" i="53"/>
  <c r="Z44" i="53"/>
  <c r="Z42" i="53"/>
  <c r="Z40" i="53"/>
  <c r="Z38" i="53"/>
  <c r="Z34" i="53"/>
  <c r="Z32" i="53"/>
  <c r="Z30" i="53"/>
  <c r="Z28" i="53"/>
  <c r="Z26" i="53"/>
  <c r="Z23" i="53"/>
  <c r="Z20" i="53"/>
  <c r="Z18" i="53"/>
  <c r="Z16" i="53"/>
  <c r="Z14" i="53"/>
  <c r="Z11" i="53"/>
  <c r="Z9" i="53"/>
  <c r="Z6" i="53"/>
  <c r="Z23" i="49"/>
  <c r="Z21" i="49"/>
  <c r="Z17" i="49"/>
  <c r="Z14" i="49"/>
  <c r="Z12" i="49"/>
  <c r="Z10" i="49"/>
  <c r="Z8" i="49"/>
  <c r="Z6" i="49"/>
  <c r="Z15" i="48"/>
  <c r="Z13" i="48"/>
  <c r="Z11" i="48"/>
  <c r="Z9" i="48"/>
  <c r="Z7" i="48"/>
  <c r="Z19" i="47"/>
  <c r="Z17" i="47"/>
  <c r="Z15" i="47"/>
  <c r="Z13" i="47"/>
  <c r="Z9" i="47"/>
  <c r="Z6" i="47"/>
  <c r="Y9" i="45"/>
  <c r="X9" i="45"/>
  <c r="W64" i="45"/>
  <c r="W58" i="45"/>
  <c r="W56" i="45"/>
  <c r="W52" i="45"/>
  <c r="W49" i="45"/>
  <c r="W47" i="45"/>
  <c r="W43" i="45"/>
  <c r="W41" i="45"/>
  <c r="W32" i="45"/>
  <c r="W30" i="45"/>
  <c r="W19" i="45"/>
  <c r="W10" i="45"/>
  <c r="AJ7" i="53"/>
  <c r="Y38" i="53"/>
  <c r="X38" i="53"/>
  <c r="Y46" i="53"/>
  <c r="AI46" i="53" s="1"/>
  <c r="X46" i="53"/>
  <c r="Y42" i="53"/>
  <c r="AI42" i="53" s="1"/>
  <c r="X42" i="53"/>
  <c r="Y40" i="53"/>
  <c r="AI40" i="53" s="1"/>
  <c r="X40" i="53"/>
  <c r="AI38" i="53"/>
  <c r="Y32" i="53"/>
  <c r="AI32" i="53" s="1"/>
  <c r="X32" i="53"/>
  <c r="AB32" i="53" s="1"/>
  <c r="Y30" i="53"/>
  <c r="AI30" i="53" s="1"/>
  <c r="X30" i="53"/>
  <c r="Y28" i="53"/>
  <c r="AI28" i="53" s="1"/>
  <c r="X28" i="53"/>
  <c r="Y18" i="53"/>
  <c r="AI18" i="53" s="1"/>
  <c r="X18" i="53"/>
  <c r="Y11" i="53"/>
  <c r="X11" i="53"/>
  <c r="AI11" i="53"/>
  <c r="Y9" i="53"/>
  <c r="X9" i="53"/>
  <c r="AI9" i="53"/>
  <c r="W47" i="53"/>
  <c r="W43" i="53"/>
  <c r="W41" i="53"/>
  <c r="W39" i="53"/>
  <c r="W33" i="53"/>
  <c r="W31" i="53"/>
  <c r="W29" i="53"/>
  <c r="W19" i="53"/>
  <c r="W12" i="53"/>
  <c r="W10" i="53"/>
  <c r="AJ7" i="49"/>
  <c r="AJ8" i="49" s="1"/>
  <c r="Y23" i="49"/>
  <c r="X23" i="49"/>
  <c r="AI23" i="49"/>
  <c r="Y17" i="49"/>
  <c r="X17" i="49"/>
  <c r="AI17" i="49"/>
  <c r="W15" i="49"/>
  <c r="Y14" i="49"/>
  <c r="AI14" i="49" s="1"/>
  <c r="X14" i="49"/>
  <c r="AB14" i="49" s="1"/>
  <c r="Y12" i="49"/>
  <c r="AI12" i="49" s="1"/>
  <c r="X12" i="49"/>
  <c r="AB12" i="49" s="1"/>
  <c r="Y10" i="49"/>
  <c r="AI10" i="49" s="1"/>
  <c r="X10" i="49"/>
  <c r="AB10" i="49" s="1"/>
  <c r="Y8" i="49"/>
  <c r="AI8" i="49" s="1"/>
  <c r="X8" i="49"/>
  <c r="Y6" i="49"/>
  <c r="AI6" i="49" s="1"/>
  <c r="X6" i="49"/>
  <c r="W22" i="49"/>
  <c r="W18" i="49"/>
  <c r="W13" i="49"/>
  <c r="W11" i="49"/>
  <c r="AO7" i="48"/>
  <c r="AO8" i="48"/>
  <c r="AO9" i="48"/>
  <c r="AO10" i="48"/>
  <c r="AO11" i="48"/>
  <c r="AO12" i="48"/>
  <c r="AO13" i="48"/>
  <c r="AO14" i="48"/>
  <c r="AO15" i="48"/>
  <c r="AO16" i="48"/>
  <c r="AO17" i="48"/>
  <c r="AO18" i="48"/>
  <c r="AO19" i="48"/>
  <c r="AO20" i="48"/>
  <c r="AO21" i="48"/>
  <c r="AO22" i="48"/>
  <c r="AO23" i="48"/>
  <c r="AO24" i="48"/>
  <c r="AO25" i="48"/>
  <c r="AO26" i="48"/>
  <c r="AO27" i="48"/>
  <c r="AO28" i="48"/>
  <c r="AO29" i="48"/>
  <c r="AO30" i="48"/>
  <c r="AO31" i="48"/>
  <c r="AO32" i="48"/>
  <c r="AO33" i="48"/>
  <c r="AO34" i="48"/>
  <c r="AO35" i="48"/>
  <c r="AO36" i="48"/>
  <c r="AO37" i="48"/>
  <c r="AO38" i="48"/>
  <c r="AO39" i="48"/>
  <c r="AO40" i="48"/>
  <c r="AO41" i="48"/>
  <c r="AO42" i="48"/>
  <c r="AO43" i="48"/>
  <c r="AO44" i="48"/>
  <c r="AO45" i="48"/>
  <c r="AO46" i="48"/>
  <c r="AO47" i="48"/>
  <c r="AO48" i="48"/>
  <c r="AO49" i="48"/>
  <c r="AO50" i="48"/>
  <c r="AO51" i="48"/>
  <c r="AO52" i="48"/>
  <c r="AO53" i="48"/>
  <c r="AO54" i="48"/>
  <c r="AO55" i="48"/>
  <c r="AO56" i="48"/>
  <c r="AO57" i="48"/>
  <c r="AO58" i="48"/>
  <c r="AO59" i="48"/>
  <c r="AO60" i="48"/>
  <c r="AO61" i="48"/>
  <c r="AO62" i="48"/>
  <c r="AO63" i="48"/>
  <c r="AO64" i="48"/>
  <c r="AO65" i="48"/>
  <c r="AO66" i="48"/>
  <c r="AO67" i="48"/>
  <c r="AO68" i="48"/>
  <c r="AO69" i="48"/>
  <c r="AO70" i="48"/>
  <c r="AO71" i="48"/>
  <c r="AO72" i="48"/>
  <c r="AO73" i="48"/>
  <c r="AO74" i="48"/>
  <c r="AO75" i="48"/>
  <c r="AO76" i="48"/>
  <c r="AO77" i="48"/>
  <c r="AO78" i="48"/>
  <c r="AO79" i="48"/>
  <c r="AM7" i="48"/>
  <c r="AM8" i="48"/>
  <c r="AM9" i="48"/>
  <c r="AM10" i="48"/>
  <c r="AM11" i="48"/>
  <c r="AM12" i="48"/>
  <c r="AM13" i="48"/>
  <c r="AM14" i="48"/>
  <c r="AM15" i="48"/>
  <c r="AM16" i="48"/>
  <c r="AM17" i="48"/>
  <c r="AM18" i="48"/>
  <c r="AM19" i="48"/>
  <c r="AM20" i="48"/>
  <c r="AM21" i="48"/>
  <c r="AM22" i="48"/>
  <c r="AM23" i="48"/>
  <c r="AM24" i="48"/>
  <c r="AM25" i="48"/>
  <c r="AM26" i="48"/>
  <c r="AM27" i="48"/>
  <c r="AM28" i="48"/>
  <c r="AM29" i="48"/>
  <c r="AM30" i="48"/>
  <c r="AM31" i="48"/>
  <c r="AM32" i="48"/>
  <c r="AM33" i="48"/>
  <c r="AM34" i="48"/>
  <c r="AM35" i="48"/>
  <c r="AM36" i="48"/>
  <c r="AM37" i="48"/>
  <c r="AM38" i="48"/>
  <c r="AM39" i="48"/>
  <c r="AM40" i="48"/>
  <c r="AM41" i="48"/>
  <c r="AM42" i="48"/>
  <c r="AM43" i="48"/>
  <c r="AM44" i="48"/>
  <c r="AM45" i="48"/>
  <c r="AM46" i="48"/>
  <c r="AM47" i="48"/>
  <c r="AM48" i="48"/>
  <c r="AM49" i="48"/>
  <c r="AM50" i="48"/>
  <c r="AM51" i="48"/>
  <c r="AM52" i="48"/>
  <c r="AM53" i="48"/>
  <c r="AM54" i="48"/>
  <c r="AM55" i="48"/>
  <c r="AM56" i="48"/>
  <c r="AM57" i="48"/>
  <c r="AM58" i="48"/>
  <c r="AM59" i="48"/>
  <c r="AM60" i="48"/>
  <c r="AM61" i="48"/>
  <c r="AM62" i="48"/>
  <c r="AM63" i="48"/>
  <c r="AM64" i="48"/>
  <c r="AM65" i="48"/>
  <c r="AM66" i="48"/>
  <c r="AM67" i="48"/>
  <c r="AM68" i="48"/>
  <c r="AM69" i="48"/>
  <c r="AM70" i="48"/>
  <c r="AM71" i="48"/>
  <c r="AM72" i="48"/>
  <c r="AM73" i="48"/>
  <c r="AM74" i="48"/>
  <c r="AM75" i="48"/>
  <c r="AM76" i="48"/>
  <c r="AM77" i="48"/>
  <c r="AM78" i="48"/>
  <c r="AM79" i="48"/>
  <c r="AO6" i="48"/>
  <c r="AM6" i="48"/>
  <c r="Y15" i="48"/>
  <c r="X15" i="48"/>
  <c r="AI15" i="48"/>
  <c r="Y13" i="48"/>
  <c r="AI13" i="48" s="1"/>
  <c r="X13" i="48"/>
  <c r="Y9" i="48"/>
  <c r="AI9" i="48" s="1"/>
  <c r="X9" i="48"/>
  <c r="Y7" i="48"/>
  <c r="AI7" i="48" s="1"/>
  <c r="X7" i="48"/>
  <c r="AB7" i="48"/>
  <c r="W14" i="48"/>
  <c r="W10" i="48"/>
  <c r="W8" i="48"/>
  <c r="AJ7" i="48"/>
  <c r="Y19" i="47"/>
  <c r="Y17" i="47"/>
  <c r="Y15" i="47"/>
  <c r="AI15" i="47" s="1"/>
  <c r="Y13" i="47"/>
  <c r="AI13" i="47" s="1"/>
  <c r="AI19" i="47"/>
  <c r="AI17" i="47"/>
  <c r="Y9" i="47"/>
  <c r="AI9" i="47" s="1"/>
  <c r="X19" i="47"/>
  <c r="X17" i="47"/>
  <c r="X15" i="47"/>
  <c r="X13" i="47"/>
  <c r="W20" i="47"/>
  <c r="W18" i="47"/>
  <c r="W16" i="47"/>
  <c r="W14" i="47"/>
  <c r="W10" i="47"/>
  <c r="W7" i="47"/>
  <c r="Y6" i="47"/>
  <c r="X9" i="47"/>
  <c r="X6" i="47"/>
  <c r="AB6" i="47" s="1"/>
  <c r="AJ7" i="47"/>
  <c r="BO42" i="65" l="1"/>
  <c r="CC20" i="65" s="1"/>
  <c r="AM37" i="65"/>
  <c r="AM36" i="65"/>
  <c r="AM40" i="65" s="1"/>
  <c r="AZ23" i="65"/>
  <c r="EF22" i="65"/>
  <c r="EG22" i="65" s="1"/>
  <c r="DD23" i="65"/>
  <c r="DE23" i="65" s="1"/>
  <c r="CC8" i="65"/>
  <c r="BY10" i="65"/>
  <c r="CC7" i="65"/>
  <c r="BY11" i="65"/>
  <c r="CC10" i="65"/>
  <c r="CC12" i="65"/>
  <c r="CC14" i="65"/>
  <c r="CC16" i="65"/>
  <c r="CC18" i="65"/>
  <c r="K40" i="65"/>
  <c r="K42" i="65" s="1"/>
  <c r="CB22" i="65"/>
  <c r="X23" i="65"/>
  <c r="AL23" i="64"/>
  <c r="Y40" i="64"/>
  <c r="Y44" i="64" s="1"/>
  <c r="Y41" i="64"/>
  <c r="K36" i="64"/>
  <c r="K39" i="64" s="1"/>
  <c r="U8" i="64"/>
  <c r="K40" i="64"/>
  <c r="U7" i="64"/>
  <c r="AZ22" i="62"/>
  <c r="X23" i="62"/>
  <c r="BS45" i="61" a="1"/>
  <c r="BS45" i="61" s="1"/>
  <c r="BS49" i="61" s="1"/>
  <c r="BS46" i="61"/>
  <c r="CF21" i="61"/>
  <c r="AZ26" i="61"/>
  <c r="AT42" i="61" s="1"/>
  <c r="AQ52" i="61" s="1" a="1"/>
  <c r="AQ52" i="61" s="1"/>
  <c r="AQ56" i="61" s="1"/>
  <c r="BD22" i="61"/>
  <c r="X27" i="61"/>
  <c r="K61" i="61"/>
  <c r="K60" i="61"/>
  <c r="K64" i="61" s="1"/>
  <c r="CB18" i="72"/>
  <c r="X25" i="72"/>
  <c r="Y24" i="72"/>
  <c r="AB40" i="45"/>
  <c r="AB29" i="45"/>
  <c r="AB9" i="45"/>
  <c r="AB48" i="45"/>
  <c r="AB55" i="45"/>
  <c r="AB51" i="45"/>
  <c r="Z9" i="45"/>
  <c r="AI9" i="45"/>
  <c r="AI29" i="45"/>
  <c r="AJ9" i="45"/>
  <c r="Z63" i="45"/>
  <c r="AA63" i="45" s="1"/>
  <c r="AE63" i="45" s="1"/>
  <c r="AB63" i="45"/>
  <c r="AC63" i="45"/>
  <c r="AD63" i="45" s="1"/>
  <c r="Z57" i="45"/>
  <c r="AA57" i="45" s="1"/>
  <c r="AE57" i="45" s="1"/>
  <c r="AC57" i="45"/>
  <c r="AD57" i="45" s="1"/>
  <c r="Z55" i="45"/>
  <c r="AA55" i="45" s="1"/>
  <c r="AE55" i="45" s="1"/>
  <c r="AC55" i="45"/>
  <c r="AD55" i="45" s="1"/>
  <c r="Z51" i="45"/>
  <c r="AA51" i="45" s="1"/>
  <c r="AE51" i="45" s="1"/>
  <c r="AC51" i="45"/>
  <c r="AD51" i="45" s="1"/>
  <c r="Z48" i="45"/>
  <c r="AA48" i="45" s="1"/>
  <c r="AE48" i="45" s="1"/>
  <c r="AC48" i="45"/>
  <c r="AD48" i="45" s="1"/>
  <c r="Z46" i="45"/>
  <c r="AA46" i="45" s="1"/>
  <c r="AE46" i="45" s="1"/>
  <c r="AB46" i="45"/>
  <c r="AC46" i="45"/>
  <c r="AD46" i="45" s="1"/>
  <c r="Z42" i="45"/>
  <c r="AA42" i="45" s="1"/>
  <c r="AE42" i="45" s="1"/>
  <c r="AB42" i="45"/>
  <c r="AC42" i="45"/>
  <c r="AD42" i="45" s="1"/>
  <c r="Z40" i="45"/>
  <c r="AA40" i="45" s="1"/>
  <c r="AE40" i="45" s="1"/>
  <c r="AC40" i="45"/>
  <c r="AD40" i="45" s="1"/>
  <c r="Z31" i="45"/>
  <c r="AA31" i="45" s="1"/>
  <c r="AE31" i="45" s="1"/>
  <c r="AB31" i="45"/>
  <c r="AC31" i="45"/>
  <c r="AD31" i="45" s="1"/>
  <c r="Z29" i="45"/>
  <c r="AA29" i="45" s="1"/>
  <c r="AE29" i="45" s="1"/>
  <c r="AC29" i="45"/>
  <c r="AD29" i="45" s="1"/>
  <c r="Z18" i="45"/>
  <c r="AA18" i="45" s="1"/>
  <c r="AE18" i="45" s="1"/>
  <c r="AB18" i="45"/>
  <c r="AC18" i="45"/>
  <c r="AD18" i="45" s="1"/>
  <c r="AA9" i="45"/>
  <c r="AE9" i="45" s="1"/>
  <c r="AK6" i="45" s="1"/>
  <c r="AC9" i="45"/>
  <c r="AD9" i="45" s="1"/>
  <c r="AB11" i="53"/>
  <c r="AJ8" i="53"/>
  <c r="AA46" i="53"/>
  <c r="AE46" i="53" s="1"/>
  <c r="AB46" i="53"/>
  <c r="AC46" i="53"/>
  <c r="AD46" i="53" s="1"/>
  <c r="AA42" i="53"/>
  <c r="AE42" i="53" s="1"/>
  <c r="AB42" i="53"/>
  <c r="AC42" i="53"/>
  <c r="AD42" i="53" s="1"/>
  <c r="AA40" i="53"/>
  <c r="AE40" i="53" s="1"/>
  <c r="AB40" i="53"/>
  <c r="AC40" i="53"/>
  <c r="AD40" i="53" s="1"/>
  <c r="AA38" i="53"/>
  <c r="AE38" i="53" s="1"/>
  <c r="AB38" i="53"/>
  <c r="AC38" i="53"/>
  <c r="AD38" i="53" s="1"/>
  <c r="AA32" i="53"/>
  <c r="AE32" i="53" s="1"/>
  <c r="AC32" i="53"/>
  <c r="AD32" i="53" s="1"/>
  <c r="AA30" i="53"/>
  <c r="AE30" i="53" s="1"/>
  <c r="AB30" i="53"/>
  <c r="AC30" i="53"/>
  <c r="AD30" i="53" s="1"/>
  <c r="AA28" i="53"/>
  <c r="AE28" i="53" s="1"/>
  <c r="AB28" i="53"/>
  <c r="AC28" i="53"/>
  <c r="AD28" i="53" s="1"/>
  <c r="AA18" i="53"/>
  <c r="AE18" i="53" s="1"/>
  <c r="AB18" i="53"/>
  <c r="AC18" i="53"/>
  <c r="AD18" i="53" s="1"/>
  <c r="AA11" i="53"/>
  <c r="AE11" i="53" s="1"/>
  <c r="AC11" i="53"/>
  <c r="AD11" i="53" s="1"/>
  <c r="AA9" i="53"/>
  <c r="AE9" i="53" s="1"/>
  <c r="AB9" i="53"/>
  <c r="AC9" i="53"/>
  <c r="AD9" i="53" s="1"/>
  <c r="AB17" i="49"/>
  <c r="AJ9" i="49"/>
  <c r="AA23" i="49"/>
  <c r="AE23" i="49" s="1"/>
  <c r="AB23" i="49"/>
  <c r="AA17" i="49"/>
  <c r="AE17" i="49" s="1"/>
  <c r="AC17" i="49"/>
  <c r="AD17" i="49" s="1"/>
  <c r="AA14" i="49"/>
  <c r="AE14" i="49" s="1"/>
  <c r="AC14" i="49"/>
  <c r="AD14" i="49" s="1"/>
  <c r="AA12" i="49"/>
  <c r="AE12" i="49" s="1"/>
  <c r="AC12" i="49"/>
  <c r="AD12" i="49" s="1"/>
  <c r="AA10" i="49"/>
  <c r="AE10" i="49" s="1"/>
  <c r="AC10" i="49"/>
  <c r="AD10" i="49" s="1"/>
  <c r="AA8" i="49"/>
  <c r="AE8" i="49" s="1"/>
  <c r="AL6" i="49" s="1"/>
  <c r="AB8" i="49"/>
  <c r="AA6" i="49"/>
  <c r="AE6" i="49" s="1"/>
  <c r="AB6" i="49"/>
  <c r="AC7" i="48"/>
  <c r="AD7" i="48" s="1"/>
  <c r="AA13" i="48"/>
  <c r="AE13" i="48" s="1"/>
  <c r="AB13" i="48"/>
  <c r="AC13" i="48"/>
  <c r="AD13" i="48" s="1"/>
  <c r="AA9" i="48"/>
  <c r="AE9" i="48" s="1"/>
  <c r="AB9" i="48"/>
  <c r="AC9" i="48"/>
  <c r="AD9" i="48" s="1"/>
  <c r="AA7" i="48"/>
  <c r="AE7" i="48" s="1"/>
  <c r="AJ8" i="48"/>
  <c r="AC17" i="47"/>
  <c r="AA6" i="47"/>
  <c r="AE6" i="47" s="1"/>
  <c r="AG6" i="47" s="1"/>
  <c r="AC9" i="47"/>
  <c r="AD9" i="47" s="1"/>
  <c r="AC15" i="47"/>
  <c r="AC6" i="47"/>
  <c r="AD6" i="47" s="1"/>
  <c r="AI6" i="47"/>
  <c r="AA9" i="47"/>
  <c r="AE9" i="47" s="1"/>
  <c r="AL9" i="47" s="1"/>
  <c r="AB9" i="47"/>
  <c r="AJ8" i="47"/>
  <c r="BE79" i="46"/>
  <c r="BF79" i="46"/>
  <c r="BG7" i="46"/>
  <c r="BG8" i="46"/>
  <c r="BG9" i="46"/>
  <c r="BG10" i="46"/>
  <c r="BG11" i="46"/>
  <c r="BG12" i="46"/>
  <c r="BG13" i="46"/>
  <c r="BG14" i="46"/>
  <c r="BG15" i="46"/>
  <c r="BG16" i="46"/>
  <c r="BG17" i="46"/>
  <c r="BG18" i="46"/>
  <c r="BG19" i="46"/>
  <c r="BG20" i="46"/>
  <c r="BG21" i="46"/>
  <c r="BG22" i="46"/>
  <c r="BG23" i="46"/>
  <c r="BG24" i="46"/>
  <c r="BG25" i="46"/>
  <c r="BG26" i="46"/>
  <c r="BG27" i="46"/>
  <c r="BG28" i="46"/>
  <c r="BG29" i="46"/>
  <c r="BG30" i="46"/>
  <c r="BG31" i="46"/>
  <c r="BG32" i="46"/>
  <c r="BG33" i="46"/>
  <c r="BG34" i="46"/>
  <c r="BG35" i="46"/>
  <c r="BG36" i="46"/>
  <c r="BG37" i="46"/>
  <c r="BG38" i="46"/>
  <c r="BG39" i="46"/>
  <c r="BG40" i="46"/>
  <c r="BG41" i="46"/>
  <c r="BG42" i="46"/>
  <c r="BG43" i="46"/>
  <c r="BG44" i="46"/>
  <c r="BG45" i="46"/>
  <c r="BG46" i="46"/>
  <c r="BG47" i="46"/>
  <c r="BG48" i="46"/>
  <c r="BG49" i="46"/>
  <c r="BG50" i="46"/>
  <c r="BG51" i="46"/>
  <c r="BG52" i="46"/>
  <c r="BG53" i="46"/>
  <c r="BG54" i="46"/>
  <c r="BG55" i="46"/>
  <c r="BG56" i="46"/>
  <c r="BG57" i="46"/>
  <c r="BG58" i="46"/>
  <c r="BG59" i="46"/>
  <c r="BG60" i="46"/>
  <c r="BG61" i="46"/>
  <c r="BG62" i="46"/>
  <c r="BG63" i="46"/>
  <c r="BG64" i="46"/>
  <c r="BG65" i="46"/>
  <c r="BG66" i="46"/>
  <c r="BG67" i="46"/>
  <c r="BG68" i="46"/>
  <c r="BG69" i="46"/>
  <c r="BG70" i="46"/>
  <c r="BG71" i="46"/>
  <c r="BG72" i="46"/>
  <c r="BG73" i="46"/>
  <c r="BG74" i="46"/>
  <c r="BG75" i="46"/>
  <c r="BG76" i="46"/>
  <c r="BG77" i="46"/>
  <c r="BG78" i="46"/>
  <c r="BG79" i="46"/>
  <c r="BF7" i="46"/>
  <c r="BF8" i="46"/>
  <c r="BF9" i="46"/>
  <c r="BF10" i="46"/>
  <c r="BF11" i="46"/>
  <c r="BF12" i="46"/>
  <c r="BF13" i="46"/>
  <c r="BF14" i="46"/>
  <c r="BF15" i="46"/>
  <c r="BF16" i="46"/>
  <c r="BF17" i="46"/>
  <c r="BF18" i="46"/>
  <c r="BF19" i="46"/>
  <c r="BF20" i="46"/>
  <c r="BF21" i="46"/>
  <c r="BF22" i="46"/>
  <c r="BF23" i="46"/>
  <c r="BF24" i="46"/>
  <c r="BF25" i="46"/>
  <c r="BF26" i="46"/>
  <c r="BF27" i="46"/>
  <c r="BF28" i="46"/>
  <c r="BF29" i="46"/>
  <c r="BF30" i="46"/>
  <c r="BF31" i="46"/>
  <c r="BF32" i="46"/>
  <c r="BF33" i="46"/>
  <c r="BF34" i="46"/>
  <c r="BF35" i="46"/>
  <c r="BF36" i="46"/>
  <c r="BF37" i="46"/>
  <c r="BF38" i="46"/>
  <c r="BF39" i="46"/>
  <c r="BF40" i="46"/>
  <c r="BF41" i="46"/>
  <c r="BF42" i="46"/>
  <c r="BF43" i="46"/>
  <c r="BF44" i="46"/>
  <c r="BF45" i="46"/>
  <c r="BF46" i="46"/>
  <c r="BF47" i="46"/>
  <c r="BF48" i="46"/>
  <c r="BF49" i="46"/>
  <c r="BF50" i="46"/>
  <c r="BF51" i="46"/>
  <c r="BF52" i="46"/>
  <c r="BF53" i="46"/>
  <c r="BF54" i="46"/>
  <c r="BF55" i="46"/>
  <c r="BF56" i="46"/>
  <c r="BF57" i="46"/>
  <c r="BF58" i="46"/>
  <c r="BF59" i="46"/>
  <c r="BF60" i="46"/>
  <c r="BF61" i="46"/>
  <c r="BF62" i="46"/>
  <c r="BF63" i="46"/>
  <c r="BF64" i="46"/>
  <c r="BF65" i="46"/>
  <c r="BF66" i="46"/>
  <c r="BF67" i="46"/>
  <c r="BF68" i="46"/>
  <c r="BF69" i="46"/>
  <c r="BF70" i="46"/>
  <c r="BF71" i="46"/>
  <c r="BF72" i="46"/>
  <c r="BF73" i="46"/>
  <c r="BF74" i="46"/>
  <c r="BF75" i="46"/>
  <c r="BF76" i="46"/>
  <c r="BF77" i="46"/>
  <c r="BF78" i="46"/>
  <c r="BE7" i="46"/>
  <c r="BE8" i="46"/>
  <c r="BE9" i="46"/>
  <c r="BE10" i="46"/>
  <c r="BE11" i="46"/>
  <c r="BE12" i="46"/>
  <c r="BE13" i="46"/>
  <c r="BE14" i="46"/>
  <c r="BE15" i="46"/>
  <c r="BE16" i="46"/>
  <c r="BE17" i="46"/>
  <c r="BE18" i="46"/>
  <c r="BE19" i="46"/>
  <c r="BE20" i="46"/>
  <c r="BE21" i="46"/>
  <c r="BE22" i="46"/>
  <c r="BE23" i="46"/>
  <c r="BE24" i="46"/>
  <c r="BE25" i="46"/>
  <c r="BE26" i="46"/>
  <c r="BE27" i="46"/>
  <c r="BE28" i="46"/>
  <c r="BE29" i="46"/>
  <c r="BE30" i="46"/>
  <c r="BE31" i="46"/>
  <c r="BE32" i="46"/>
  <c r="BE33" i="46"/>
  <c r="BE34" i="46"/>
  <c r="BE35" i="46"/>
  <c r="BE36" i="46"/>
  <c r="BE37" i="46"/>
  <c r="BE38" i="46"/>
  <c r="BE39" i="46"/>
  <c r="BE40" i="46"/>
  <c r="BE41" i="46"/>
  <c r="BE42" i="46"/>
  <c r="BE43" i="46"/>
  <c r="BE44" i="46"/>
  <c r="BE45" i="46"/>
  <c r="BE46" i="46"/>
  <c r="BE47" i="46"/>
  <c r="BE48" i="46"/>
  <c r="BE49" i="46"/>
  <c r="BE50" i="46"/>
  <c r="BE51" i="46"/>
  <c r="BE52" i="46"/>
  <c r="BE53" i="46"/>
  <c r="BE54" i="46"/>
  <c r="BE55" i="46"/>
  <c r="BE56" i="46"/>
  <c r="BE57" i="46"/>
  <c r="BE58" i="46"/>
  <c r="BE59" i="46"/>
  <c r="BE60" i="46"/>
  <c r="BE61" i="46"/>
  <c r="BE62" i="46"/>
  <c r="BE63" i="46"/>
  <c r="BE64" i="46"/>
  <c r="BE65" i="46"/>
  <c r="BE66" i="46"/>
  <c r="BE67" i="46"/>
  <c r="BE68" i="46"/>
  <c r="BE69" i="46"/>
  <c r="BE70" i="46"/>
  <c r="BE71" i="46"/>
  <c r="BE72" i="46"/>
  <c r="BE73" i="46"/>
  <c r="BE74" i="46"/>
  <c r="BE75" i="46"/>
  <c r="BE76" i="46"/>
  <c r="BE77" i="46"/>
  <c r="BE78" i="46"/>
  <c r="BD7" i="46"/>
  <c r="BD8" i="46"/>
  <c r="BD9" i="46"/>
  <c r="BD10" i="46"/>
  <c r="BD11" i="46"/>
  <c r="BD12" i="46"/>
  <c r="BD13" i="46"/>
  <c r="BD14" i="46"/>
  <c r="BD15" i="46"/>
  <c r="BD16" i="46"/>
  <c r="BD17" i="46"/>
  <c r="BD18" i="46"/>
  <c r="BD19" i="46"/>
  <c r="BD20" i="46"/>
  <c r="BD21" i="46"/>
  <c r="BD22" i="46"/>
  <c r="BD23" i="46"/>
  <c r="BD24" i="46"/>
  <c r="BD25" i="46"/>
  <c r="BD26" i="46"/>
  <c r="BD27" i="46"/>
  <c r="BD28" i="46"/>
  <c r="BD29" i="46"/>
  <c r="BD30" i="46"/>
  <c r="BD31" i="46"/>
  <c r="BD32" i="46"/>
  <c r="BD33" i="46"/>
  <c r="BD34" i="46"/>
  <c r="BD35" i="46"/>
  <c r="BD36" i="46"/>
  <c r="BD37" i="46"/>
  <c r="BD38" i="46"/>
  <c r="BD39" i="46"/>
  <c r="BD40" i="46"/>
  <c r="BD41" i="46"/>
  <c r="BD42" i="46"/>
  <c r="BD43" i="46"/>
  <c r="BD44" i="46"/>
  <c r="BD45" i="46"/>
  <c r="BD46" i="46"/>
  <c r="BD47" i="46"/>
  <c r="BD48" i="46"/>
  <c r="BD49" i="46"/>
  <c r="BD50" i="46"/>
  <c r="BD51" i="46"/>
  <c r="BD52" i="46"/>
  <c r="BD53" i="46"/>
  <c r="BD54" i="46"/>
  <c r="BD55" i="46"/>
  <c r="BD56" i="46"/>
  <c r="BD57" i="46"/>
  <c r="BD58" i="46"/>
  <c r="BD59" i="46"/>
  <c r="BD60" i="46"/>
  <c r="BD61" i="46"/>
  <c r="BD62" i="46"/>
  <c r="BD63" i="46"/>
  <c r="BD64" i="46"/>
  <c r="BD65" i="46"/>
  <c r="BD66" i="46"/>
  <c r="BD67" i="46"/>
  <c r="BD68" i="46"/>
  <c r="BD69" i="46"/>
  <c r="BD70" i="46"/>
  <c r="BD71" i="46"/>
  <c r="BD72" i="46"/>
  <c r="BD73" i="46"/>
  <c r="BD74" i="46"/>
  <c r="BD75" i="46"/>
  <c r="BD76" i="46"/>
  <c r="BD77" i="46"/>
  <c r="BD78" i="46"/>
  <c r="BD79" i="46"/>
  <c r="BC79" i="46"/>
  <c r="BC7" i="46"/>
  <c r="BC8" i="46"/>
  <c r="BC9" i="46"/>
  <c r="BC10" i="46"/>
  <c r="BC11" i="46"/>
  <c r="BC12" i="46"/>
  <c r="BC13" i="46"/>
  <c r="BC14" i="46"/>
  <c r="BC15" i="46"/>
  <c r="BC16" i="46"/>
  <c r="BC17" i="46"/>
  <c r="BC18" i="46"/>
  <c r="BC19" i="46"/>
  <c r="BC20" i="46"/>
  <c r="BC21" i="46"/>
  <c r="BC22" i="46"/>
  <c r="BC23" i="46"/>
  <c r="BC24" i="46"/>
  <c r="BC25" i="46"/>
  <c r="BC26" i="46"/>
  <c r="BC27" i="46"/>
  <c r="BC28" i="46"/>
  <c r="BC29" i="46"/>
  <c r="BC30" i="46"/>
  <c r="BC31" i="46"/>
  <c r="BC32" i="46"/>
  <c r="BC33" i="46"/>
  <c r="BC34" i="46"/>
  <c r="BC35" i="46"/>
  <c r="BC36" i="46"/>
  <c r="BC37" i="46"/>
  <c r="BC38" i="46"/>
  <c r="BC39" i="46"/>
  <c r="BC40" i="46"/>
  <c r="BC41" i="46"/>
  <c r="BC42" i="46"/>
  <c r="BC43" i="46"/>
  <c r="BC44" i="46"/>
  <c r="BC45" i="46"/>
  <c r="BC46" i="46"/>
  <c r="BC47" i="46"/>
  <c r="BC48" i="46"/>
  <c r="BC49" i="46"/>
  <c r="BC50" i="46"/>
  <c r="BC51" i="46"/>
  <c r="BC52" i="46"/>
  <c r="BC53" i="46"/>
  <c r="BC54" i="46"/>
  <c r="BC55" i="46"/>
  <c r="BC56" i="46"/>
  <c r="BC57" i="46"/>
  <c r="BC58" i="46"/>
  <c r="BC59" i="46"/>
  <c r="BC60" i="46"/>
  <c r="BC61" i="46"/>
  <c r="BC62" i="46"/>
  <c r="BC63" i="46"/>
  <c r="BC64" i="46"/>
  <c r="BC65" i="46"/>
  <c r="BC66" i="46"/>
  <c r="BC67" i="46"/>
  <c r="BC68" i="46"/>
  <c r="BC69" i="46"/>
  <c r="BC70" i="46"/>
  <c r="BC71" i="46"/>
  <c r="BC72" i="46"/>
  <c r="BC73" i="46"/>
  <c r="BC74" i="46"/>
  <c r="BC75" i="46"/>
  <c r="BC76" i="46"/>
  <c r="BC77" i="46"/>
  <c r="BC78" i="46"/>
  <c r="BB7" i="46"/>
  <c r="BB8" i="46"/>
  <c r="BB9" i="46"/>
  <c r="BB10" i="46"/>
  <c r="BB11" i="46"/>
  <c r="BB12" i="46"/>
  <c r="BB13" i="46"/>
  <c r="BB14" i="46"/>
  <c r="BB15" i="46"/>
  <c r="BB16" i="46"/>
  <c r="BB17" i="46"/>
  <c r="BB18" i="46"/>
  <c r="BB19" i="46"/>
  <c r="BB20" i="46"/>
  <c r="BB21" i="46"/>
  <c r="BB22" i="46"/>
  <c r="BB23" i="46"/>
  <c r="BB24" i="46"/>
  <c r="BB25" i="46"/>
  <c r="BB26" i="46"/>
  <c r="BB27" i="46"/>
  <c r="BB28" i="46"/>
  <c r="BB29" i="46"/>
  <c r="BB30" i="46"/>
  <c r="BB31" i="46"/>
  <c r="BB32" i="46"/>
  <c r="BB33" i="46"/>
  <c r="BB34" i="46"/>
  <c r="BB35" i="46"/>
  <c r="BB36" i="46"/>
  <c r="BB37" i="46"/>
  <c r="BB38" i="46"/>
  <c r="BB39" i="46"/>
  <c r="BB40" i="46"/>
  <c r="BB41" i="46"/>
  <c r="BB42" i="46"/>
  <c r="BB43" i="46"/>
  <c r="BB44" i="46"/>
  <c r="BB45" i="46"/>
  <c r="BB46" i="46"/>
  <c r="BB47" i="46"/>
  <c r="BB48" i="46"/>
  <c r="BB49" i="46"/>
  <c r="BB50" i="46"/>
  <c r="BB51" i="46"/>
  <c r="BB52" i="46"/>
  <c r="BB53" i="46"/>
  <c r="BB54" i="46"/>
  <c r="BB55" i="46"/>
  <c r="BB56" i="46"/>
  <c r="BB57" i="46"/>
  <c r="BB58" i="46"/>
  <c r="BB59" i="46"/>
  <c r="BB60" i="46"/>
  <c r="BB61" i="46"/>
  <c r="BB62" i="46"/>
  <c r="BB63" i="46"/>
  <c r="BB64" i="46"/>
  <c r="BB65" i="46"/>
  <c r="BB66" i="46"/>
  <c r="BB67" i="46"/>
  <c r="BB68" i="46"/>
  <c r="BB69" i="46"/>
  <c r="BB70" i="46"/>
  <c r="BB71" i="46"/>
  <c r="BB72" i="46"/>
  <c r="BB73" i="46"/>
  <c r="BB74" i="46"/>
  <c r="BB75" i="46"/>
  <c r="BB76" i="46"/>
  <c r="BB77" i="46"/>
  <c r="BB78" i="46"/>
  <c r="BB79" i="46"/>
  <c r="BA7" i="46"/>
  <c r="BA8" i="46"/>
  <c r="BA9" i="46"/>
  <c r="BA10" i="46"/>
  <c r="BA11" i="46"/>
  <c r="BA12" i="46"/>
  <c r="BA13" i="46"/>
  <c r="BA14" i="46"/>
  <c r="BA15" i="46"/>
  <c r="BA16" i="46"/>
  <c r="BA17" i="46"/>
  <c r="BA18" i="46"/>
  <c r="BA19" i="46"/>
  <c r="BA20" i="46"/>
  <c r="BA21" i="46"/>
  <c r="BA22" i="46"/>
  <c r="BA23" i="46"/>
  <c r="BA24" i="46"/>
  <c r="BA25" i="46"/>
  <c r="BA26" i="46"/>
  <c r="BA27" i="46"/>
  <c r="BA28" i="46"/>
  <c r="BA29" i="46"/>
  <c r="BA30" i="46"/>
  <c r="BA31" i="46"/>
  <c r="BA32" i="46"/>
  <c r="BA33" i="46"/>
  <c r="BA34" i="46"/>
  <c r="BA35" i="46"/>
  <c r="BA36" i="46"/>
  <c r="BA37" i="46"/>
  <c r="BA38" i="46"/>
  <c r="BA39" i="46"/>
  <c r="BA40" i="46"/>
  <c r="BA41" i="46"/>
  <c r="BA42" i="46"/>
  <c r="BA43" i="46"/>
  <c r="BA44" i="46"/>
  <c r="BA45" i="46"/>
  <c r="BA46" i="46"/>
  <c r="BA47" i="46"/>
  <c r="BA48" i="46"/>
  <c r="BA49" i="46"/>
  <c r="BA50" i="46"/>
  <c r="BA51" i="46"/>
  <c r="BA52" i="46"/>
  <c r="BA53" i="46"/>
  <c r="BA54" i="46"/>
  <c r="BA55" i="46"/>
  <c r="BA56" i="46"/>
  <c r="BA57" i="46"/>
  <c r="BA58" i="46"/>
  <c r="BA59" i="46"/>
  <c r="BA60" i="46"/>
  <c r="BA61" i="46"/>
  <c r="BA62" i="46"/>
  <c r="BA63" i="46"/>
  <c r="BA64" i="46"/>
  <c r="BA65" i="46"/>
  <c r="BA66" i="46"/>
  <c r="BA67" i="46"/>
  <c r="BA68" i="46"/>
  <c r="BA69" i="46"/>
  <c r="BA70" i="46"/>
  <c r="BA71" i="46"/>
  <c r="BA72" i="46"/>
  <c r="BA73" i="46"/>
  <c r="BA74" i="46"/>
  <c r="BA75" i="46"/>
  <c r="BA76" i="46"/>
  <c r="BA77" i="46"/>
  <c r="BA78" i="46"/>
  <c r="BA79" i="46"/>
  <c r="AZ7" i="46"/>
  <c r="AZ8" i="46"/>
  <c r="AZ9" i="46"/>
  <c r="AZ10" i="46"/>
  <c r="AZ11" i="46"/>
  <c r="AZ12" i="46"/>
  <c r="AZ13" i="46"/>
  <c r="AZ14" i="46"/>
  <c r="AZ15" i="46"/>
  <c r="AZ16" i="46"/>
  <c r="AZ17" i="46"/>
  <c r="AZ18" i="46"/>
  <c r="AZ19" i="46"/>
  <c r="AZ20" i="46"/>
  <c r="AZ21" i="46"/>
  <c r="AZ22" i="46"/>
  <c r="AZ23" i="46"/>
  <c r="AZ24" i="46"/>
  <c r="AZ25" i="46"/>
  <c r="AZ26" i="46"/>
  <c r="AZ27" i="46"/>
  <c r="AZ28" i="46"/>
  <c r="AZ29" i="46"/>
  <c r="AZ30" i="46"/>
  <c r="AZ31" i="46"/>
  <c r="AZ32" i="46"/>
  <c r="AZ33" i="46"/>
  <c r="AZ34" i="46"/>
  <c r="AZ35" i="46"/>
  <c r="AZ36" i="46"/>
  <c r="AZ37" i="46"/>
  <c r="AZ38" i="46"/>
  <c r="AZ39" i="46"/>
  <c r="AZ40" i="46"/>
  <c r="AZ41" i="46"/>
  <c r="AZ42" i="46"/>
  <c r="AZ43" i="46"/>
  <c r="AZ44" i="46"/>
  <c r="AZ45" i="46"/>
  <c r="AZ46" i="46"/>
  <c r="AZ47" i="46"/>
  <c r="AZ48" i="46"/>
  <c r="AZ49" i="46"/>
  <c r="AZ50" i="46"/>
  <c r="AZ51" i="46"/>
  <c r="AZ52" i="46"/>
  <c r="AZ53" i="46"/>
  <c r="AZ54" i="46"/>
  <c r="AZ55" i="46"/>
  <c r="AZ56" i="46"/>
  <c r="AZ57" i="46"/>
  <c r="AZ58" i="46"/>
  <c r="AZ59" i="46"/>
  <c r="AZ60" i="46"/>
  <c r="AZ61" i="46"/>
  <c r="AZ62" i="46"/>
  <c r="AZ63" i="46"/>
  <c r="AZ64" i="46"/>
  <c r="AZ65" i="46"/>
  <c r="AZ66" i="46"/>
  <c r="AZ67" i="46"/>
  <c r="AZ68" i="46"/>
  <c r="AZ69" i="46"/>
  <c r="AZ70" i="46"/>
  <c r="AZ71" i="46"/>
  <c r="AZ72" i="46"/>
  <c r="AZ73" i="46"/>
  <c r="AZ74" i="46"/>
  <c r="AZ75" i="46"/>
  <c r="AZ76" i="46"/>
  <c r="AZ77" i="46"/>
  <c r="AZ78" i="46"/>
  <c r="AZ79" i="46"/>
  <c r="AY7" i="46"/>
  <c r="AY8" i="46"/>
  <c r="AY9" i="46"/>
  <c r="AY10" i="46"/>
  <c r="AY11" i="46"/>
  <c r="AY12" i="46"/>
  <c r="AY13" i="46"/>
  <c r="AY14" i="46"/>
  <c r="AY15" i="46"/>
  <c r="AY16" i="46"/>
  <c r="AY17" i="46"/>
  <c r="AY18" i="46"/>
  <c r="AY19" i="46"/>
  <c r="AY20" i="46"/>
  <c r="AY21" i="46"/>
  <c r="AY22" i="46"/>
  <c r="AY23" i="46"/>
  <c r="AY24" i="46"/>
  <c r="AY25" i="46"/>
  <c r="AY26" i="46"/>
  <c r="AY27" i="46"/>
  <c r="AY28" i="46"/>
  <c r="AY29" i="46"/>
  <c r="AY30" i="46"/>
  <c r="AY31" i="46"/>
  <c r="AY32" i="46"/>
  <c r="AY33" i="46"/>
  <c r="AY34" i="46"/>
  <c r="AY35" i="46"/>
  <c r="AY36" i="46"/>
  <c r="AY37" i="46"/>
  <c r="AY38" i="46"/>
  <c r="AY39" i="46"/>
  <c r="AY40" i="46"/>
  <c r="AY41" i="46"/>
  <c r="AY42" i="46"/>
  <c r="AY43" i="46"/>
  <c r="AY44" i="46"/>
  <c r="AY45" i="46"/>
  <c r="AY46" i="46"/>
  <c r="AY47" i="46"/>
  <c r="AY48" i="46"/>
  <c r="AY49" i="46"/>
  <c r="AY50" i="46"/>
  <c r="AY51" i="46"/>
  <c r="AY52" i="46"/>
  <c r="AY53" i="46"/>
  <c r="AY54" i="46"/>
  <c r="AY55" i="46"/>
  <c r="AY56" i="46"/>
  <c r="AY57" i="46"/>
  <c r="AY58" i="46"/>
  <c r="AY59" i="46"/>
  <c r="AY60" i="46"/>
  <c r="AY61" i="46"/>
  <c r="AY62" i="46"/>
  <c r="AY63" i="46"/>
  <c r="AY64" i="46"/>
  <c r="AY65" i="46"/>
  <c r="AY66" i="46"/>
  <c r="AY67" i="46"/>
  <c r="AY68" i="46"/>
  <c r="AY69" i="46"/>
  <c r="AY70" i="46"/>
  <c r="AY71" i="46"/>
  <c r="AY72" i="46"/>
  <c r="AY73" i="46"/>
  <c r="AY74" i="46"/>
  <c r="AY75" i="46"/>
  <c r="AY76" i="46"/>
  <c r="AY77" i="46"/>
  <c r="AY78" i="46"/>
  <c r="AY79" i="46"/>
  <c r="AX7" i="46"/>
  <c r="AX8" i="46"/>
  <c r="AX9" i="46"/>
  <c r="AX10" i="46"/>
  <c r="AX11" i="46"/>
  <c r="AX12" i="46"/>
  <c r="AX13" i="46"/>
  <c r="AX14" i="46"/>
  <c r="AX15" i="46"/>
  <c r="AX16" i="46"/>
  <c r="AX17" i="46"/>
  <c r="AX18" i="46"/>
  <c r="AX19" i="46"/>
  <c r="AX20" i="46"/>
  <c r="AX21" i="46"/>
  <c r="AX22" i="46"/>
  <c r="AX23" i="46"/>
  <c r="AX24" i="46"/>
  <c r="AX25" i="46"/>
  <c r="AX26" i="46"/>
  <c r="AX27" i="46"/>
  <c r="AX28" i="46"/>
  <c r="AX29" i="46"/>
  <c r="AX30" i="46"/>
  <c r="AX31" i="46"/>
  <c r="AX32" i="46"/>
  <c r="AX33" i="46"/>
  <c r="AX34" i="46"/>
  <c r="AX35" i="46"/>
  <c r="AX36" i="46"/>
  <c r="AX37" i="46"/>
  <c r="AX38" i="46"/>
  <c r="AX39" i="46"/>
  <c r="AX40" i="46"/>
  <c r="AX41" i="46"/>
  <c r="AX42" i="46"/>
  <c r="AX43" i="46"/>
  <c r="AX44" i="46"/>
  <c r="AX45" i="46"/>
  <c r="AX46" i="46"/>
  <c r="AX47" i="46"/>
  <c r="AX48" i="46"/>
  <c r="AX49" i="46"/>
  <c r="AX50" i="46"/>
  <c r="AX51" i="46"/>
  <c r="AX52" i="46"/>
  <c r="AX53" i="46"/>
  <c r="AX54" i="46"/>
  <c r="AX55" i="46"/>
  <c r="AX56" i="46"/>
  <c r="AX57" i="46"/>
  <c r="AX58" i="46"/>
  <c r="AX59" i="46"/>
  <c r="AX60" i="46"/>
  <c r="AX61" i="46"/>
  <c r="AX62" i="46"/>
  <c r="AX63" i="46"/>
  <c r="AX64" i="46"/>
  <c r="AX65" i="46"/>
  <c r="AX66" i="46"/>
  <c r="AX67" i="46"/>
  <c r="AX68" i="46"/>
  <c r="AX69" i="46"/>
  <c r="AX70" i="46"/>
  <c r="AX71" i="46"/>
  <c r="AX72" i="46"/>
  <c r="AX73" i="46"/>
  <c r="AX74" i="46"/>
  <c r="AX75" i="46"/>
  <c r="AX76" i="46"/>
  <c r="AX77" i="46"/>
  <c r="AX78" i="46"/>
  <c r="AX79" i="46"/>
  <c r="AW7" i="46"/>
  <c r="AW8" i="46"/>
  <c r="AW9" i="46"/>
  <c r="AW10" i="46"/>
  <c r="AW11" i="46"/>
  <c r="AW12" i="46"/>
  <c r="AW13" i="46"/>
  <c r="AW14" i="46"/>
  <c r="AW15" i="46"/>
  <c r="AW16" i="46"/>
  <c r="AW17" i="46"/>
  <c r="AW18" i="46"/>
  <c r="AW19" i="46"/>
  <c r="AW20" i="46"/>
  <c r="AW21" i="46"/>
  <c r="AW22" i="46"/>
  <c r="AW23" i="46"/>
  <c r="AW24" i="46"/>
  <c r="AW25" i="46"/>
  <c r="AW26" i="46"/>
  <c r="AW27" i="46"/>
  <c r="AW28" i="46"/>
  <c r="AW29" i="46"/>
  <c r="AW30" i="46"/>
  <c r="AW31" i="46"/>
  <c r="AW32" i="46"/>
  <c r="AW33" i="46"/>
  <c r="AW34" i="46"/>
  <c r="AW35" i="46"/>
  <c r="AW36" i="46"/>
  <c r="AW37" i="46"/>
  <c r="AW38" i="46"/>
  <c r="AW39" i="46"/>
  <c r="AW40" i="46"/>
  <c r="AW41" i="46"/>
  <c r="AW42" i="46"/>
  <c r="AW43" i="46"/>
  <c r="AW44" i="46"/>
  <c r="AW45" i="46"/>
  <c r="AW46" i="46"/>
  <c r="AW47" i="46"/>
  <c r="AW48" i="46"/>
  <c r="AW49" i="46"/>
  <c r="AW50" i="46"/>
  <c r="AW51" i="46"/>
  <c r="AW52" i="46"/>
  <c r="AW53" i="46"/>
  <c r="AW54" i="46"/>
  <c r="AW55" i="46"/>
  <c r="AW56" i="46"/>
  <c r="AW57" i="46"/>
  <c r="AW58" i="46"/>
  <c r="AW59" i="46"/>
  <c r="AW60" i="46"/>
  <c r="AW61" i="46"/>
  <c r="AW62" i="46"/>
  <c r="AW63" i="46"/>
  <c r="AW64" i="46"/>
  <c r="AW65" i="46"/>
  <c r="AW66" i="46"/>
  <c r="AW67" i="46"/>
  <c r="AW68" i="46"/>
  <c r="AW69" i="46"/>
  <c r="AW70" i="46"/>
  <c r="AW71" i="46"/>
  <c r="AW72" i="46"/>
  <c r="AW73" i="46"/>
  <c r="AW74" i="46"/>
  <c r="AW75" i="46"/>
  <c r="AW76" i="46"/>
  <c r="AW77" i="46"/>
  <c r="AW78" i="46"/>
  <c r="AW79" i="46"/>
  <c r="AV7" i="46"/>
  <c r="AV8" i="46"/>
  <c r="AV9" i="46"/>
  <c r="AV10" i="46"/>
  <c r="AV11" i="46"/>
  <c r="AV12" i="46"/>
  <c r="AV13" i="46"/>
  <c r="AV14" i="46"/>
  <c r="AV15" i="46"/>
  <c r="AV16" i="46"/>
  <c r="AV17" i="46"/>
  <c r="AV18" i="46"/>
  <c r="AV19" i="46"/>
  <c r="AV20" i="46"/>
  <c r="AV21" i="46"/>
  <c r="AV22" i="46"/>
  <c r="AV23" i="46"/>
  <c r="AV24" i="46"/>
  <c r="AV25" i="46"/>
  <c r="AV26" i="46"/>
  <c r="AV27" i="46"/>
  <c r="AV28" i="46"/>
  <c r="AV29" i="46"/>
  <c r="AV30" i="46"/>
  <c r="AV31" i="46"/>
  <c r="AV32" i="46"/>
  <c r="AV33" i="46"/>
  <c r="AV34" i="46"/>
  <c r="AV35" i="46"/>
  <c r="AV36" i="46"/>
  <c r="AV37" i="46"/>
  <c r="AV38" i="46"/>
  <c r="AV39" i="46"/>
  <c r="AV40" i="46"/>
  <c r="AV41" i="46"/>
  <c r="AV42" i="46"/>
  <c r="AV43" i="46"/>
  <c r="AV44" i="46"/>
  <c r="AV45" i="46"/>
  <c r="AV46" i="46"/>
  <c r="AV47" i="46"/>
  <c r="AV48" i="46"/>
  <c r="AV49" i="46"/>
  <c r="AV50" i="46"/>
  <c r="AV51" i="46"/>
  <c r="AV52" i="46"/>
  <c r="AV53" i="46"/>
  <c r="AV54" i="46"/>
  <c r="AV55" i="46"/>
  <c r="AV56" i="46"/>
  <c r="AV57" i="46"/>
  <c r="AV58" i="46"/>
  <c r="AV59" i="46"/>
  <c r="AV60" i="46"/>
  <c r="AV61" i="46"/>
  <c r="AV62" i="46"/>
  <c r="AV63" i="46"/>
  <c r="AV64" i="46"/>
  <c r="AV65" i="46"/>
  <c r="AV66" i="46"/>
  <c r="AV67" i="46"/>
  <c r="AV68" i="46"/>
  <c r="AV69" i="46"/>
  <c r="AV70" i="46"/>
  <c r="AV71" i="46"/>
  <c r="AV72" i="46"/>
  <c r="AV73" i="46"/>
  <c r="AV74" i="46"/>
  <c r="AV75" i="46"/>
  <c r="AV76" i="46"/>
  <c r="AV77" i="46"/>
  <c r="AV78" i="46"/>
  <c r="AV79" i="46"/>
  <c r="AU7" i="46"/>
  <c r="AU8" i="46"/>
  <c r="AU9" i="46"/>
  <c r="AU10" i="46"/>
  <c r="AU11" i="46"/>
  <c r="AU12" i="46"/>
  <c r="AU13" i="46"/>
  <c r="AU14" i="46"/>
  <c r="AU15" i="46"/>
  <c r="AU16" i="46"/>
  <c r="AU17" i="46"/>
  <c r="AU18" i="46"/>
  <c r="AU19" i="46"/>
  <c r="AU20" i="46"/>
  <c r="AU21" i="46"/>
  <c r="AU22" i="46"/>
  <c r="AU23" i="46"/>
  <c r="AU24" i="46"/>
  <c r="AU25" i="46"/>
  <c r="AU26" i="46"/>
  <c r="AU27" i="46"/>
  <c r="AU28" i="46"/>
  <c r="AU29" i="46"/>
  <c r="AU30" i="46"/>
  <c r="AU31" i="46"/>
  <c r="AU32" i="46"/>
  <c r="AU33" i="46"/>
  <c r="AU34" i="46"/>
  <c r="AU35" i="46"/>
  <c r="AU36" i="46"/>
  <c r="AU37" i="46"/>
  <c r="AU38" i="46"/>
  <c r="AU39" i="46"/>
  <c r="AU40" i="46"/>
  <c r="AU41" i="46"/>
  <c r="AU42" i="46"/>
  <c r="AU43" i="46"/>
  <c r="AU44" i="46"/>
  <c r="AU45" i="46"/>
  <c r="AU46" i="46"/>
  <c r="AU47" i="46"/>
  <c r="AU48" i="46"/>
  <c r="AU49" i="46"/>
  <c r="AU50" i="46"/>
  <c r="AU51" i="46"/>
  <c r="AU52" i="46"/>
  <c r="AU53" i="46"/>
  <c r="AU54" i="46"/>
  <c r="AU55" i="46"/>
  <c r="AU56" i="46"/>
  <c r="AU57" i="46"/>
  <c r="AU58" i="46"/>
  <c r="AU59" i="46"/>
  <c r="AU60" i="46"/>
  <c r="AU61" i="46"/>
  <c r="AU62" i="46"/>
  <c r="AU63" i="46"/>
  <c r="AU64" i="46"/>
  <c r="AU65" i="46"/>
  <c r="AU66" i="46"/>
  <c r="AU67" i="46"/>
  <c r="AU68" i="46"/>
  <c r="AU69" i="46"/>
  <c r="AU70" i="46"/>
  <c r="AU71" i="46"/>
  <c r="AU72" i="46"/>
  <c r="AU73" i="46"/>
  <c r="AU74" i="46"/>
  <c r="AU75" i="46"/>
  <c r="AU76" i="46"/>
  <c r="AU77" i="46"/>
  <c r="AU78" i="46"/>
  <c r="AU79" i="46"/>
  <c r="AT7" i="46"/>
  <c r="AT8" i="46"/>
  <c r="AT9" i="46"/>
  <c r="AT10" i="46"/>
  <c r="AT11" i="46"/>
  <c r="AT12" i="46"/>
  <c r="AT13" i="46"/>
  <c r="AT14" i="46"/>
  <c r="AT15" i="46"/>
  <c r="AT16" i="46"/>
  <c r="AT17" i="46"/>
  <c r="AT18" i="46"/>
  <c r="AT19" i="46"/>
  <c r="AT20" i="46"/>
  <c r="AT21" i="46"/>
  <c r="AT22" i="46"/>
  <c r="AT23" i="46"/>
  <c r="AT24" i="46"/>
  <c r="AT25" i="46"/>
  <c r="AT26" i="46"/>
  <c r="AT27" i="46"/>
  <c r="AT28" i="46"/>
  <c r="AT29" i="46"/>
  <c r="AT30" i="46"/>
  <c r="AT31" i="46"/>
  <c r="AT32" i="46"/>
  <c r="AT33" i="46"/>
  <c r="AT34" i="46"/>
  <c r="AT35" i="46"/>
  <c r="AT36" i="46"/>
  <c r="AT37" i="46"/>
  <c r="AT38" i="46"/>
  <c r="AT39" i="46"/>
  <c r="AT40" i="46"/>
  <c r="AT41" i="46"/>
  <c r="AT42" i="46"/>
  <c r="AT43" i="46"/>
  <c r="AT44" i="46"/>
  <c r="AT45" i="46"/>
  <c r="AT46" i="46"/>
  <c r="AT47" i="46"/>
  <c r="AT48" i="46"/>
  <c r="AT49" i="46"/>
  <c r="AT50" i="46"/>
  <c r="AT51" i="46"/>
  <c r="AT52" i="46"/>
  <c r="AT53" i="46"/>
  <c r="AT54" i="46"/>
  <c r="AT55" i="46"/>
  <c r="AT56" i="46"/>
  <c r="AT57" i="46"/>
  <c r="AT58" i="46"/>
  <c r="AT59" i="46"/>
  <c r="AT60" i="46"/>
  <c r="AT61" i="46"/>
  <c r="AT62" i="46"/>
  <c r="AT63" i="46"/>
  <c r="AT64" i="46"/>
  <c r="AT65" i="46"/>
  <c r="AT66" i="46"/>
  <c r="AT67" i="46"/>
  <c r="AT68" i="46"/>
  <c r="AT69" i="46"/>
  <c r="AT70" i="46"/>
  <c r="AT71" i="46"/>
  <c r="AT72" i="46"/>
  <c r="AT73" i="46"/>
  <c r="AT74" i="46"/>
  <c r="AT75" i="46"/>
  <c r="AT76" i="46"/>
  <c r="AT77" i="46"/>
  <c r="AT78" i="46"/>
  <c r="AT79" i="46"/>
  <c r="AS7" i="46"/>
  <c r="AS8" i="46"/>
  <c r="AS9" i="46"/>
  <c r="AS10" i="46"/>
  <c r="AS11" i="46"/>
  <c r="AS12" i="46"/>
  <c r="AS13" i="46"/>
  <c r="AS14" i="46"/>
  <c r="AS15" i="46"/>
  <c r="AS16" i="46"/>
  <c r="AS17" i="46"/>
  <c r="AS18" i="46"/>
  <c r="AS19" i="46"/>
  <c r="AS20" i="46"/>
  <c r="AS21" i="46"/>
  <c r="AS22" i="46"/>
  <c r="AS23" i="46"/>
  <c r="AS24" i="46"/>
  <c r="AS25" i="46"/>
  <c r="AS26" i="46"/>
  <c r="AS27" i="46"/>
  <c r="AS28" i="46"/>
  <c r="AS29" i="46"/>
  <c r="AS30" i="46"/>
  <c r="AS31" i="46"/>
  <c r="AS32" i="46"/>
  <c r="AS33" i="46"/>
  <c r="AS34" i="46"/>
  <c r="AS35" i="46"/>
  <c r="AS36" i="46"/>
  <c r="AS37" i="46"/>
  <c r="AS38" i="46"/>
  <c r="AS39" i="46"/>
  <c r="AS40" i="46"/>
  <c r="AS41" i="46"/>
  <c r="AS42" i="46"/>
  <c r="AS43" i="46"/>
  <c r="AS44" i="46"/>
  <c r="AS45" i="46"/>
  <c r="AS46" i="46"/>
  <c r="AS47" i="46"/>
  <c r="AS48" i="46"/>
  <c r="AS49" i="46"/>
  <c r="AS50" i="46"/>
  <c r="AS51" i="46"/>
  <c r="AS52" i="46"/>
  <c r="AS53" i="46"/>
  <c r="AS54" i="46"/>
  <c r="AS55" i="46"/>
  <c r="AS56" i="46"/>
  <c r="AS57" i="46"/>
  <c r="AS58" i="46"/>
  <c r="AS59" i="46"/>
  <c r="AS60" i="46"/>
  <c r="AS61" i="46"/>
  <c r="AS62" i="46"/>
  <c r="AS63" i="46"/>
  <c r="AS64" i="46"/>
  <c r="AS65" i="46"/>
  <c r="AS66" i="46"/>
  <c r="AS67" i="46"/>
  <c r="AS68" i="46"/>
  <c r="AS69" i="46"/>
  <c r="AS70" i="46"/>
  <c r="AS71" i="46"/>
  <c r="AS72" i="46"/>
  <c r="AS73" i="46"/>
  <c r="AS74" i="46"/>
  <c r="AS75" i="46"/>
  <c r="AS76" i="46"/>
  <c r="AS77" i="46"/>
  <c r="AS78" i="46"/>
  <c r="AS79" i="46"/>
  <c r="AR7" i="46"/>
  <c r="AR8" i="46"/>
  <c r="AR9" i="46"/>
  <c r="AR10" i="46"/>
  <c r="AR11" i="46"/>
  <c r="AR12" i="46"/>
  <c r="AR13" i="46"/>
  <c r="AR14" i="46"/>
  <c r="AR15" i="46"/>
  <c r="AR16" i="46"/>
  <c r="AR17" i="46"/>
  <c r="AR18" i="46"/>
  <c r="AR19" i="46"/>
  <c r="AR20" i="46"/>
  <c r="AR21" i="46"/>
  <c r="AR22" i="46"/>
  <c r="AR23" i="46"/>
  <c r="AR24" i="46"/>
  <c r="AR25" i="46"/>
  <c r="AR26" i="46"/>
  <c r="AR27" i="46"/>
  <c r="AR28" i="46"/>
  <c r="AR29" i="46"/>
  <c r="AR30" i="46"/>
  <c r="AR31" i="46"/>
  <c r="AR32" i="46"/>
  <c r="AR33" i="46"/>
  <c r="AR34" i="46"/>
  <c r="AR35" i="46"/>
  <c r="AR36" i="46"/>
  <c r="AR37" i="46"/>
  <c r="AR38" i="46"/>
  <c r="AR39" i="46"/>
  <c r="AR40" i="46"/>
  <c r="AR41" i="46"/>
  <c r="AR42" i="46"/>
  <c r="AR43" i="46"/>
  <c r="AR44" i="46"/>
  <c r="AR45" i="46"/>
  <c r="AR46" i="46"/>
  <c r="AR47" i="46"/>
  <c r="AR48" i="46"/>
  <c r="AR49" i="46"/>
  <c r="AR50" i="46"/>
  <c r="AR51" i="46"/>
  <c r="AR52" i="46"/>
  <c r="AR53" i="46"/>
  <c r="AR54" i="46"/>
  <c r="AR55" i="46"/>
  <c r="AR56" i="46"/>
  <c r="AR57" i="46"/>
  <c r="AR58" i="46"/>
  <c r="AR59" i="46"/>
  <c r="AR60" i="46"/>
  <c r="AR61" i="46"/>
  <c r="AR62" i="46"/>
  <c r="AR63" i="46"/>
  <c r="AR64" i="46"/>
  <c r="AR65" i="46"/>
  <c r="AR66" i="46"/>
  <c r="AR67" i="46"/>
  <c r="AR68" i="46"/>
  <c r="AR69" i="46"/>
  <c r="AR70" i="46"/>
  <c r="AR71" i="46"/>
  <c r="AR72" i="46"/>
  <c r="AR73" i="46"/>
  <c r="AR74" i="46"/>
  <c r="AR75" i="46"/>
  <c r="AR76" i="46"/>
  <c r="AR77" i="46"/>
  <c r="AR78" i="46"/>
  <c r="AR79" i="46"/>
  <c r="AQ7" i="46"/>
  <c r="AQ8" i="46"/>
  <c r="AQ9" i="46"/>
  <c r="AQ10" i="46"/>
  <c r="AQ11" i="46"/>
  <c r="AQ12" i="46"/>
  <c r="AQ13" i="46"/>
  <c r="AQ14" i="46"/>
  <c r="AQ15" i="46"/>
  <c r="AQ16" i="46"/>
  <c r="AQ17" i="46"/>
  <c r="AQ18" i="46"/>
  <c r="AQ19" i="46"/>
  <c r="AQ20" i="46"/>
  <c r="AQ21" i="46"/>
  <c r="AQ22" i="46"/>
  <c r="AQ23" i="46"/>
  <c r="AQ24" i="46"/>
  <c r="AQ25" i="46"/>
  <c r="AQ26" i="46"/>
  <c r="AQ27" i="46"/>
  <c r="AQ28" i="46"/>
  <c r="AQ29" i="46"/>
  <c r="AQ30" i="46"/>
  <c r="AQ31" i="46"/>
  <c r="AQ32" i="46"/>
  <c r="AQ33" i="46"/>
  <c r="AQ34" i="46"/>
  <c r="AQ35" i="46"/>
  <c r="AQ36" i="46"/>
  <c r="AQ37" i="46"/>
  <c r="AQ38" i="46"/>
  <c r="AQ39" i="46"/>
  <c r="AQ40" i="46"/>
  <c r="AQ41" i="46"/>
  <c r="AQ42" i="46"/>
  <c r="AQ43" i="46"/>
  <c r="AQ44" i="46"/>
  <c r="AQ45" i="46"/>
  <c r="AQ46" i="46"/>
  <c r="AQ47" i="46"/>
  <c r="AQ48" i="46"/>
  <c r="AQ49" i="46"/>
  <c r="AQ50" i="46"/>
  <c r="AQ51" i="46"/>
  <c r="AQ52" i="46"/>
  <c r="AQ53" i="46"/>
  <c r="AQ54" i="46"/>
  <c r="AQ55" i="46"/>
  <c r="AQ56" i="46"/>
  <c r="AQ57" i="46"/>
  <c r="AQ58" i="46"/>
  <c r="AQ59" i="46"/>
  <c r="AQ60" i="46"/>
  <c r="AQ61" i="46"/>
  <c r="AQ62" i="46"/>
  <c r="AQ63" i="46"/>
  <c r="AQ64" i="46"/>
  <c r="AQ65" i="46"/>
  <c r="AQ66" i="46"/>
  <c r="AQ67" i="46"/>
  <c r="AQ68" i="46"/>
  <c r="AQ69" i="46"/>
  <c r="AQ70" i="46"/>
  <c r="AQ71" i="46"/>
  <c r="AQ72" i="46"/>
  <c r="AQ73" i="46"/>
  <c r="AQ74" i="46"/>
  <c r="AQ75" i="46"/>
  <c r="AQ76" i="46"/>
  <c r="AQ77" i="46"/>
  <c r="AQ78" i="46"/>
  <c r="AQ79" i="46"/>
  <c r="BG6" i="46"/>
  <c r="BF6" i="46"/>
  <c r="BE6" i="46"/>
  <c r="BD6" i="46"/>
  <c r="BC6" i="46"/>
  <c r="BB6" i="46"/>
  <c r="BA6" i="46"/>
  <c r="AZ6" i="46"/>
  <c r="AY6" i="46"/>
  <c r="AX6" i="46"/>
  <c r="AW6" i="46"/>
  <c r="AV6" i="46"/>
  <c r="AU6" i="46"/>
  <c r="AT6" i="46"/>
  <c r="AS6" i="46"/>
  <c r="AR6" i="46"/>
  <c r="AQ6" i="46"/>
  <c r="CC22" i="65" l="1"/>
  <c r="CC19" i="65"/>
  <c r="CC17" i="65"/>
  <c r="CC15" i="65"/>
  <c r="CC13" i="65"/>
  <c r="CC11" i="65"/>
  <c r="CC9" i="65"/>
  <c r="BY9" i="65"/>
  <c r="BY7" i="65"/>
  <c r="BY8" i="65"/>
  <c r="CC21" i="65"/>
  <c r="AM39" i="65"/>
  <c r="AZ24" i="65"/>
  <c r="EF23" i="65"/>
  <c r="EG23" i="65" s="1"/>
  <c r="DD24" i="65"/>
  <c r="DE24" i="65" s="1"/>
  <c r="Y22" i="65"/>
  <c r="Y8" i="65"/>
  <c r="Y11" i="65"/>
  <c r="U10" i="65"/>
  <c r="Y14" i="65"/>
  <c r="Y18" i="65"/>
  <c r="Y9" i="65"/>
  <c r="Y13" i="65"/>
  <c r="U8" i="65"/>
  <c r="Y16" i="65"/>
  <c r="Y20" i="65"/>
  <c r="Y23" i="65"/>
  <c r="CB23" i="65"/>
  <c r="CC23" i="65" s="1"/>
  <c r="Y21" i="65"/>
  <c r="Y19" i="65"/>
  <c r="Y17" i="65"/>
  <c r="Y15" i="65"/>
  <c r="U7" i="65"/>
  <c r="U9" i="65"/>
  <c r="U11" i="65"/>
  <c r="Y12" i="65"/>
  <c r="Y10" i="65"/>
  <c r="Y7" i="65"/>
  <c r="X24" i="65"/>
  <c r="Y24" i="65" s="1"/>
  <c r="AL24" i="64"/>
  <c r="Y43" i="64"/>
  <c r="AZ23" i="62"/>
  <c r="X24" i="62"/>
  <c r="CG21" i="61"/>
  <c r="BS48" i="61"/>
  <c r="CF22" i="61"/>
  <c r="CG22" i="61" s="1"/>
  <c r="K63" i="61"/>
  <c r="AQ53" i="61"/>
  <c r="AQ55" i="61" s="1"/>
  <c r="BE7" i="61"/>
  <c r="Y16" i="61"/>
  <c r="Y15" i="61"/>
  <c r="Y18" i="61"/>
  <c r="Y20" i="61"/>
  <c r="Y22" i="61"/>
  <c r="Y24" i="61"/>
  <c r="Y25" i="61"/>
  <c r="Y27" i="61"/>
  <c r="Y26" i="61"/>
  <c r="BD23" i="61"/>
  <c r="X28" i="61"/>
  <c r="Y28" i="61" s="1"/>
  <c r="U12" i="61"/>
  <c r="U16" i="61"/>
  <c r="U20" i="61"/>
  <c r="U24" i="61"/>
  <c r="U28" i="61"/>
  <c r="U32" i="61"/>
  <c r="U13" i="61"/>
  <c r="U17" i="61"/>
  <c r="U21" i="61"/>
  <c r="U25" i="61"/>
  <c r="U29" i="61"/>
  <c r="U14" i="61"/>
  <c r="U18" i="61"/>
  <c r="U22" i="61"/>
  <c r="U26" i="61"/>
  <c r="U30" i="61"/>
  <c r="U27" i="61"/>
  <c r="U19" i="61"/>
  <c r="U23" i="61"/>
  <c r="U15" i="61"/>
  <c r="U31" i="61"/>
  <c r="CB19" i="72"/>
  <c r="X26" i="72"/>
  <c r="Y25" i="72"/>
  <c r="AJ10" i="45"/>
  <c r="AG63" i="45"/>
  <c r="AH63" i="45"/>
  <c r="AF63" i="45"/>
  <c r="AG57" i="45"/>
  <c r="AH57" i="45"/>
  <c r="AF57" i="45"/>
  <c r="AG55" i="45"/>
  <c r="AH55" i="45"/>
  <c r="AF55" i="45"/>
  <c r="AG51" i="45"/>
  <c r="AH51" i="45"/>
  <c r="AF51" i="45"/>
  <c r="AG48" i="45"/>
  <c r="AH48" i="45"/>
  <c r="AF48" i="45"/>
  <c r="AG46" i="45"/>
  <c r="AH46" i="45"/>
  <c r="AF46" i="45"/>
  <c r="AG42" i="45"/>
  <c r="AH42" i="45"/>
  <c r="AF42" i="45"/>
  <c r="AG40" i="45"/>
  <c r="AH40" i="45"/>
  <c r="AF40" i="45"/>
  <c r="AG31" i="45"/>
  <c r="AH31" i="45"/>
  <c r="AF31" i="45"/>
  <c r="AG29" i="45"/>
  <c r="AH29" i="45"/>
  <c r="AF29" i="45"/>
  <c r="AG18" i="45"/>
  <c r="AH18" i="45"/>
  <c r="AF18" i="45"/>
  <c r="BB7" i="53"/>
  <c r="BB9" i="53"/>
  <c r="BB11" i="53"/>
  <c r="BB13" i="53"/>
  <c r="BB15" i="53"/>
  <c r="BB17" i="53"/>
  <c r="BB19" i="53"/>
  <c r="BB21" i="53"/>
  <c r="BB23" i="53"/>
  <c r="BB25" i="53"/>
  <c r="BB27" i="53"/>
  <c r="BB29" i="53"/>
  <c r="BB31" i="53"/>
  <c r="BB33" i="53"/>
  <c r="BB35" i="53"/>
  <c r="BB37" i="53"/>
  <c r="BB39" i="53"/>
  <c r="BB41" i="53"/>
  <c r="BB43" i="53"/>
  <c r="BB45" i="53"/>
  <c r="BB47" i="53"/>
  <c r="BB49" i="53"/>
  <c r="BB51" i="53"/>
  <c r="BB53" i="53"/>
  <c r="BB55" i="53"/>
  <c r="BB57" i="53"/>
  <c r="BB59" i="53"/>
  <c r="BB61" i="53"/>
  <c r="BB63" i="53"/>
  <c r="BB65" i="53"/>
  <c r="BB67" i="53"/>
  <c r="BB69" i="53"/>
  <c r="BB71" i="53"/>
  <c r="BB73" i="53"/>
  <c r="BB75" i="53"/>
  <c r="BB77" i="53"/>
  <c r="BB79" i="53"/>
  <c r="BB6" i="53"/>
  <c r="BB8" i="53"/>
  <c r="BB10" i="53"/>
  <c r="BB12" i="53"/>
  <c r="BB14" i="53"/>
  <c r="BB16" i="53"/>
  <c r="BB18" i="53"/>
  <c r="BB20" i="53"/>
  <c r="BB22" i="53"/>
  <c r="BB24" i="53"/>
  <c r="BB26" i="53"/>
  <c r="BB28" i="53"/>
  <c r="BB30" i="53"/>
  <c r="BB32" i="53"/>
  <c r="BB34" i="53"/>
  <c r="BB36" i="53"/>
  <c r="BB38" i="53"/>
  <c r="BB40" i="53"/>
  <c r="BB42" i="53"/>
  <c r="BB44" i="53"/>
  <c r="BB46" i="53"/>
  <c r="BB48" i="53"/>
  <c r="BB50" i="53"/>
  <c r="BB52" i="53"/>
  <c r="BB54" i="53"/>
  <c r="BB56" i="53"/>
  <c r="BB58" i="53"/>
  <c r="BB60" i="53"/>
  <c r="BB62" i="53"/>
  <c r="BB64" i="53"/>
  <c r="BB66" i="53"/>
  <c r="BB68" i="53"/>
  <c r="BB70" i="53"/>
  <c r="BB72" i="53"/>
  <c r="BB74" i="53"/>
  <c r="BB76" i="53"/>
  <c r="BB78" i="53"/>
  <c r="AZ7" i="53"/>
  <c r="AZ9" i="53"/>
  <c r="AZ11" i="53"/>
  <c r="AZ13" i="53"/>
  <c r="AZ15" i="53"/>
  <c r="AZ17" i="53"/>
  <c r="AZ19" i="53"/>
  <c r="AZ21" i="53"/>
  <c r="AZ23" i="53"/>
  <c r="AZ25" i="53"/>
  <c r="AZ27" i="53"/>
  <c r="AZ29" i="53"/>
  <c r="AZ31" i="53"/>
  <c r="AZ33" i="53"/>
  <c r="AZ35" i="53"/>
  <c r="AZ37" i="53"/>
  <c r="AZ39" i="53"/>
  <c r="AZ41" i="53"/>
  <c r="AZ43" i="53"/>
  <c r="AZ45" i="53"/>
  <c r="AZ47" i="53"/>
  <c r="AZ49" i="53"/>
  <c r="AZ51" i="53"/>
  <c r="AZ53" i="53"/>
  <c r="AZ55" i="53"/>
  <c r="AZ57" i="53"/>
  <c r="AZ59" i="53"/>
  <c r="AZ61" i="53"/>
  <c r="AZ63" i="53"/>
  <c r="AZ65" i="53"/>
  <c r="AZ67" i="53"/>
  <c r="AZ69" i="53"/>
  <c r="AZ71" i="53"/>
  <c r="AZ73" i="53"/>
  <c r="AZ75" i="53"/>
  <c r="AZ77" i="53"/>
  <c r="AZ79" i="53"/>
  <c r="AZ6" i="53"/>
  <c r="AZ8" i="53"/>
  <c r="AZ10" i="53"/>
  <c r="AZ12" i="53"/>
  <c r="AZ14" i="53"/>
  <c r="AZ16" i="53"/>
  <c r="AZ18" i="53"/>
  <c r="AZ20" i="53"/>
  <c r="AZ22" i="53"/>
  <c r="AZ24" i="53"/>
  <c r="AZ26" i="53"/>
  <c r="AZ28" i="53"/>
  <c r="AZ30" i="53"/>
  <c r="AZ32" i="53"/>
  <c r="AZ34" i="53"/>
  <c r="AZ36" i="53"/>
  <c r="AZ38" i="53"/>
  <c r="AZ40" i="53"/>
  <c r="AZ42" i="53"/>
  <c r="AZ44" i="53"/>
  <c r="AZ46" i="53"/>
  <c r="AZ48" i="53"/>
  <c r="AZ50" i="53"/>
  <c r="AZ52" i="53"/>
  <c r="AZ54" i="53"/>
  <c r="AZ56" i="53"/>
  <c r="AZ58" i="53"/>
  <c r="AZ60" i="53"/>
  <c r="AZ62" i="53"/>
  <c r="AZ64" i="53"/>
  <c r="AZ66" i="53"/>
  <c r="AZ68" i="53"/>
  <c r="AZ70" i="53"/>
  <c r="AZ72" i="53"/>
  <c r="AZ74" i="53"/>
  <c r="AZ76" i="53"/>
  <c r="AZ78" i="53"/>
  <c r="AY7" i="53"/>
  <c r="AY9" i="53"/>
  <c r="AY11" i="53"/>
  <c r="AY13" i="53"/>
  <c r="AY15" i="53"/>
  <c r="AY17" i="53"/>
  <c r="AY19" i="53"/>
  <c r="AY21" i="53"/>
  <c r="AY23" i="53"/>
  <c r="AY25" i="53"/>
  <c r="AY27" i="53"/>
  <c r="AY29" i="53"/>
  <c r="AY31" i="53"/>
  <c r="AY33" i="53"/>
  <c r="AY35" i="53"/>
  <c r="AY37" i="53"/>
  <c r="AY39" i="53"/>
  <c r="AY41" i="53"/>
  <c r="AY43" i="53"/>
  <c r="AY45" i="53"/>
  <c r="AY47" i="53"/>
  <c r="AY49" i="53"/>
  <c r="AY51" i="53"/>
  <c r="AY53" i="53"/>
  <c r="AY55" i="53"/>
  <c r="AY57" i="53"/>
  <c r="AY59" i="53"/>
  <c r="AY61" i="53"/>
  <c r="AY63" i="53"/>
  <c r="AY65" i="53"/>
  <c r="AY67" i="53"/>
  <c r="AY69" i="53"/>
  <c r="AY71" i="53"/>
  <c r="AY73" i="53"/>
  <c r="AY75" i="53"/>
  <c r="AY77" i="53"/>
  <c r="AY79" i="53"/>
  <c r="AY8" i="53"/>
  <c r="AY10" i="53"/>
  <c r="AY12" i="53"/>
  <c r="AY14" i="53"/>
  <c r="AY16" i="53"/>
  <c r="AY18" i="53"/>
  <c r="AY20" i="53"/>
  <c r="AY22" i="53"/>
  <c r="AY24" i="53"/>
  <c r="AY26" i="53"/>
  <c r="AY28" i="53"/>
  <c r="AY30" i="53"/>
  <c r="AY32" i="53"/>
  <c r="AY34" i="53"/>
  <c r="AY36" i="53"/>
  <c r="AY38" i="53"/>
  <c r="AY40" i="53"/>
  <c r="AY42" i="53"/>
  <c r="AY44" i="53"/>
  <c r="AY46" i="53"/>
  <c r="AY48" i="53"/>
  <c r="AY50" i="53"/>
  <c r="AY52" i="53"/>
  <c r="AY54" i="53"/>
  <c r="AY56" i="53"/>
  <c r="AY58" i="53"/>
  <c r="AY60" i="53"/>
  <c r="AY62" i="53"/>
  <c r="AY64" i="53"/>
  <c r="AY66" i="53"/>
  <c r="AY68" i="53"/>
  <c r="AY70" i="53"/>
  <c r="AY72" i="53"/>
  <c r="AY74" i="53"/>
  <c r="AY76" i="53"/>
  <c r="AY78" i="53"/>
  <c r="AY6" i="53"/>
  <c r="AX7" i="53"/>
  <c r="AX9" i="53"/>
  <c r="AX11" i="53"/>
  <c r="AX13" i="53"/>
  <c r="AX15" i="53"/>
  <c r="AX17" i="53"/>
  <c r="AX19" i="53"/>
  <c r="AX21" i="53"/>
  <c r="AX23" i="53"/>
  <c r="AX25" i="53"/>
  <c r="AX27" i="53"/>
  <c r="AX29" i="53"/>
  <c r="AX31" i="53"/>
  <c r="AX33" i="53"/>
  <c r="AX35" i="53"/>
  <c r="AX37" i="53"/>
  <c r="AX39" i="53"/>
  <c r="AX41" i="53"/>
  <c r="AX43" i="53"/>
  <c r="AX45" i="53"/>
  <c r="AX47" i="53"/>
  <c r="AX49" i="53"/>
  <c r="AX51" i="53"/>
  <c r="AX53" i="53"/>
  <c r="AX55" i="53"/>
  <c r="AX57" i="53"/>
  <c r="AX59" i="53"/>
  <c r="AX61" i="53"/>
  <c r="AX63" i="53"/>
  <c r="AX65" i="53"/>
  <c r="AX67" i="53"/>
  <c r="AX69" i="53"/>
  <c r="AX71" i="53"/>
  <c r="AX73" i="53"/>
  <c r="AX75" i="53"/>
  <c r="AX77" i="53"/>
  <c r="AX79" i="53"/>
  <c r="AX6" i="53"/>
  <c r="AX8" i="53"/>
  <c r="AX10" i="53"/>
  <c r="AX12" i="53"/>
  <c r="AX14" i="53"/>
  <c r="AX16" i="53"/>
  <c r="AX18" i="53"/>
  <c r="AX20" i="53"/>
  <c r="AX22" i="53"/>
  <c r="AX24" i="53"/>
  <c r="AX26" i="53"/>
  <c r="AX28" i="53"/>
  <c r="AX30" i="53"/>
  <c r="AX32" i="53"/>
  <c r="AX34" i="53"/>
  <c r="AX36" i="53"/>
  <c r="AX38" i="53"/>
  <c r="AX40" i="53"/>
  <c r="AX42" i="53"/>
  <c r="AX44" i="53"/>
  <c r="AX46" i="53"/>
  <c r="AX48" i="53"/>
  <c r="AX50" i="53"/>
  <c r="AX52" i="53"/>
  <c r="AX54" i="53"/>
  <c r="AX56" i="53"/>
  <c r="AX58" i="53"/>
  <c r="AX60" i="53"/>
  <c r="AX62" i="53"/>
  <c r="AX64" i="53"/>
  <c r="AX66" i="53"/>
  <c r="AX68" i="53"/>
  <c r="AX70" i="53"/>
  <c r="AX72" i="53"/>
  <c r="AX74" i="53"/>
  <c r="AX76" i="53"/>
  <c r="AX78" i="53"/>
  <c r="AV9" i="53"/>
  <c r="AV19" i="53"/>
  <c r="AV23" i="53"/>
  <c r="AV29" i="53"/>
  <c r="AV33" i="53"/>
  <c r="AV37" i="53"/>
  <c r="AV43" i="53"/>
  <c r="AV49" i="53"/>
  <c r="AV53" i="53"/>
  <c r="AV57" i="53"/>
  <c r="AV63" i="53"/>
  <c r="AV67" i="53"/>
  <c r="AV71" i="53"/>
  <c r="AV77" i="53"/>
  <c r="AV8" i="53"/>
  <c r="AV10" i="53"/>
  <c r="AV12" i="53"/>
  <c r="AV14" i="53"/>
  <c r="AV16" i="53"/>
  <c r="AV18" i="53"/>
  <c r="AV20" i="53"/>
  <c r="AV22" i="53"/>
  <c r="AV24" i="53"/>
  <c r="AV26" i="53"/>
  <c r="AV28" i="53"/>
  <c r="AV30" i="53"/>
  <c r="AV32" i="53"/>
  <c r="AV34" i="53"/>
  <c r="AV36" i="53"/>
  <c r="AV38" i="53"/>
  <c r="AV40" i="53"/>
  <c r="AV42" i="53"/>
  <c r="AV44" i="53"/>
  <c r="AV46" i="53"/>
  <c r="AV48" i="53"/>
  <c r="AV50" i="53"/>
  <c r="AV52" i="53"/>
  <c r="AV54" i="53"/>
  <c r="AV56" i="53"/>
  <c r="AV58" i="53"/>
  <c r="AV60" i="53"/>
  <c r="AV62" i="53"/>
  <c r="AV64" i="53"/>
  <c r="AV66" i="53"/>
  <c r="AV68" i="53"/>
  <c r="AV70" i="53"/>
  <c r="AV72" i="53"/>
  <c r="AV74" i="53"/>
  <c r="AV76" i="53"/>
  <c r="AV78" i="53"/>
  <c r="AV7" i="53"/>
  <c r="AV11" i="53"/>
  <c r="AV13" i="53"/>
  <c r="AV15" i="53"/>
  <c r="AV17" i="53"/>
  <c r="AV21" i="53"/>
  <c r="AV25" i="53"/>
  <c r="AV27" i="53"/>
  <c r="AV31" i="53"/>
  <c r="AV35" i="53"/>
  <c r="AV39" i="53"/>
  <c r="AV41" i="53"/>
  <c r="AV45" i="53"/>
  <c r="AV47" i="53"/>
  <c r="AV51" i="53"/>
  <c r="AV55" i="53"/>
  <c r="AV59" i="53"/>
  <c r="AV61" i="53"/>
  <c r="AV65" i="53"/>
  <c r="AV69" i="53"/>
  <c r="AV73" i="53"/>
  <c r="AV75" i="53"/>
  <c r="AV79" i="53"/>
  <c r="AV6" i="53"/>
  <c r="AU7" i="53"/>
  <c r="AU9" i="53"/>
  <c r="AU11" i="53"/>
  <c r="AU13" i="53"/>
  <c r="AU15" i="53"/>
  <c r="AU17" i="53"/>
  <c r="AU19" i="53"/>
  <c r="AU21" i="53"/>
  <c r="AU23" i="53"/>
  <c r="AU25" i="53"/>
  <c r="AU27" i="53"/>
  <c r="AU29" i="53"/>
  <c r="AU31" i="53"/>
  <c r="AU33" i="53"/>
  <c r="AU35" i="53"/>
  <c r="AU37" i="53"/>
  <c r="AU39" i="53"/>
  <c r="AU41" i="53"/>
  <c r="AU43" i="53"/>
  <c r="AU45" i="53"/>
  <c r="AU47" i="53"/>
  <c r="AU49" i="53"/>
  <c r="AU51" i="53"/>
  <c r="AU53" i="53"/>
  <c r="AU55" i="53"/>
  <c r="AU57" i="53"/>
  <c r="AU59" i="53"/>
  <c r="AU61" i="53"/>
  <c r="AU63" i="53"/>
  <c r="AU65" i="53"/>
  <c r="AU67" i="53"/>
  <c r="AU69" i="53"/>
  <c r="AU71" i="53"/>
  <c r="AU73" i="53"/>
  <c r="AU75" i="53"/>
  <c r="AU77" i="53"/>
  <c r="AU79" i="53"/>
  <c r="AU8" i="53"/>
  <c r="AU10" i="53"/>
  <c r="AU12" i="53"/>
  <c r="AU14" i="53"/>
  <c r="AU16" i="53"/>
  <c r="AU18" i="53"/>
  <c r="AU20" i="53"/>
  <c r="AU22" i="53"/>
  <c r="AU24" i="53"/>
  <c r="AU26" i="53"/>
  <c r="AU28" i="53"/>
  <c r="AU30" i="53"/>
  <c r="AU32" i="53"/>
  <c r="AU34" i="53"/>
  <c r="AU36" i="53"/>
  <c r="AU38" i="53"/>
  <c r="AU40" i="53"/>
  <c r="AU42" i="53"/>
  <c r="AU44" i="53"/>
  <c r="AU46" i="53"/>
  <c r="AU48" i="53"/>
  <c r="AU50" i="53"/>
  <c r="AU52" i="53"/>
  <c r="AU54" i="53"/>
  <c r="AU56" i="53"/>
  <c r="AU58" i="53"/>
  <c r="AU60" i="53"/>
  <c r="AU62" i="53"/>
  <c r="AU64" i="53"/>
  <c r="AU66" i="53"/>
  <c r="AU68" i="53"/>
  <c r="AU70" i="53"/>
  <c r="AU72" i="53"/>
  <c r="AU74" i="53"/>
  <c r="AU76" i="53"/>
  <c r="AU78" i="53"/>
  <c r="AU6" i="53"/>
  <c r="AT7" i="53"/>
  <c r="AT9" i="53"/>
  <c r="AT11" i="53"/>
  <c r="AT13" i="53"/>
  <c r="AT15" i="53"/>
  <c r="AT17" i="53"/>
  <c r="AT19" i="53"/>
  <c r="AT21" i="53"/>
  <c r="AT23" i="53"/>
  <c r="AT25" i="53"/>
  <c r="AT27" i="53"/>
  <c r="AT29" i="53"/>
  <c r="AT31" i="53"/>
  <c r="AT33" i="53"/>
  <c r="AT35" i="53"/>
  <c r="AT37" i="53"/>
  <c r="AT39" i="53"/>
  <c r="AT41" i="53"/>
  <c r="AT43" i="53"/>
  <c r="AT45" i="53"/>
  <c r="AT47" i="53"/>
  <c r="AT49" i="53"/>
  <c r="AT51" i="53"/>
  <c r="AT53" i="53"/>
  <c r="AT55" i="53"/>
  <c r="AT57" i="53"/>
  <c r="AT59" i="53"/>
  <c r="AT61" i="53"/>
  <c r="AT63" i="53"/>
  <c r="AT65" i="53"/>
  <c r="AT67" i="53"/>
  <c r="AT69" i="53"/>
  <c r="AT71" i="53"/>
  <c r="AT73" i="53"/>
  <c r="AT75" i="53"/>
  <c r="AT77" i="53"/>
  <c r="AT79" i="53"/>
  <c r="AT6" i="53"/>
  <c r="AT8" i="53"/>
  <c r="AT10" i="53"/>
  <c r="AT12" i="53"/>
  <c r="AT14" i="53"/>
  <c r="AT16" i="53"/>
  <c r="AT18" i="53"/>
  <c r="AT20" i="53"/>
  <c r="AT22" i="53"/>
  <c r="AT24" i="53"/>
  <c r="AT26" i="53"/>
  <c r="AT28" i="53"/>
  <c r="AT30" i="53"/>
  <c r="AT32" i="53"/>
  <c r="AT34" i="53"/>
  <c r="AT36" i="53"/>
  <c r="AT38" i="53"/>
  <c r="AT40" i="53"/>
  <c r="AT42" i="53"/>
  <c r="AT44" i="53"/>
  <c r="AT46" i="53"/>
  <c r="AT48" i="53"/>
  <c r="AT50" i="53"/>
  <c r="AT52" i="53"/>
  <c r="AT54" i="53"/>
  <c r="AT56" i="53"/>
  <c r="AT58" i="53"/>
  <c r="AT60" i="53"/>
  <c r="AT62" i="53"/>
  <c r="AT64" i="53"/>
  <c r="AT66" i="53"/>
  <c r="AT68" i="53"/>
  <c r="AT70" i="53"/>
  <c r="AT72" i="53"/>
  <c r="AT74" i="53"/>
  <c r="AT76" i="53"/>
  <c r="AT78" i="53"/>
  <c r="AP7" i="53"/>
  <c r="AP9" i="53"/>
  <c r="AP11" i="53"/>
  <c r="AP13" i="53"/>
  <c r="AP15" i="53"/>
  <c r="AP17" i="53"/>
  <c r="AP19" i="53"/>
  <c r="AP21" i="53"/>
  <c r="AP23" i="53"/>
  <c r="AP25" i="53"/>
  <c r="AP27" i="53"/>
  <c r="AP29" i="53"/>
  <c r="AP31" i="53"/>
  <c r="AP33" i="53"/>
  <c r="AP35" i="53"/>
  <c r="AP37" i="53"/>
  <c r="AP39" i="53"/>
  <c r="AP41" i="53"/>
  <c r="AP43" i="53"/>
  <c r="AP45" i="53"/>
  <c r="AP47" i="53"/>
  <c r="AP49" i="53"/>
  <c r="AP51" i="53"/>
  <c r="AP53" i="53"/>
  <c r="AP55" i="53"/>
  <c r="AP57" i="53"/>
  <c r="AP59" i="53"/>
  <c r="AP61" i="53"/>
  <c r="AP63" i="53"/>
  <c r="AP65" i="53"/>
  <c r="AP67" i="53"/>
  <c r="AP69" i="53"/>
  <c r="AP71" i="53"/>
  <c r="AP73" i="53"/>
  <c r="AP75" i="53"/>
  <c r="AP77" i="53"/>
  <c r="AP79" i="53"/>
  <c r="AP6" i="53"/>
  <c r="AP10" i="53"/>
  <c r="AP12" i="53"/>
  <c r="AP14" i="53"/>
  <c r="AP16" i="53"/>
  <c r="AP18" i="53"/>
  <c r="AP20" i="53"/>
  <c r="AP22" i="53"/>
  <c r="AP26" i="53"/>
  <c r="AP28" i="53"/>
  <c r="AP30" i="53"/>
  <c r="AP34" i="53"/>
  <c r="AP38" i="53"/>
  <c r="AP42" i="53"/>
  <c r="AP46" i="53"/>
  <c r="AP48" i="53"/>
  <c r="AP52" i="53"/>
  <c r="AP56" i="53"/>
  <c r="AP58" i="53"/>
  <c r="AP62" i="53"/>
  <c r="AP66" i="53"/>
  <c r="AP70" i="53"/>
  <c r="AP74" i="53"/>
  <c r="AP78" i="53"/>
  <c r="AP8" i="53"/>
  <c r="AP24" i="53"/>
  <c r="AP32" i="53"/>
  <c r="AP36" i="53"/>
  <c r="AP40" i="53"/>
  <c r="AP44" i="53"/>
  <c r="AP50" i="53"/>
  <c r="AP54" i="53"/>
  <c r="AP60" i="53"/>
  <c r="AP64" i="53"/>
  <c r="AP68" i="53"/>
  <c r="AP72" i="53"/>
  <c r="AP76" i="53"/>
  <c r="AM7" i="53"/>
  <c r="AM9" i="53"/>
  <c r="AM11" i="53"/>
  <c r="AM13" i="53"/>
  <c r="AM15" i="53"/>
  <c r="AM17" i="53"/>
  <c r="AM19" i="53"/>
  <c r="AM21" i="53"/>
  <c r="AM23" i="53"/>
  <c r="AM25" i="53"/>
  <c r="AM27" i="53"/>
  <c r="AM29" i="53"/>
  <c r="AM31" i="53"/>
  <c r="AM33" i="53"/>
  <c r="AM35" i="53"/>
  <c r="AM37" i="53"/>
  <c r="AM39" i="53"/>
  <c r="AM41" i="53"/>
  <c r="AM43" i="53"/>
  <c r="AM45" i="53"/>
  <c r="AM47" i="53"/>
  <c r="AM49" i="53"/>
  <c r="AM51" i="53"/>
  <c r="AM53" i="53"/>
  <c r="AM55" i="53"/>
  <c r="AM57" i="53"/>
  <c r="AM59" i="53"/>
  <c r="AM61" i="53"/>
  <c r="AM63" i="53"/>
  <c r="AM65" i="53"/>
  <c r="AM67" i="53"/>
  <c r="AM69" i="53"/>
  <c r="AM71" i="53"/>
  <c r="AM73" i="53"/>
  <c r="AM75" i="53"/>
  <c r="AM77" i="53"/>
  <c r="AM79" i="53"/>
  <c r="AM8" i="53"/>
  <c r="AM10" i="53"/>
  <c r="AM12" i="53"/>
  <c r="AM14" i="53"/>
  <c r="AM16" i="53"/>
  <c r="AM18" i="53"/>
  <c r="AM20" i="53"/>
  <c r="AM22" i="53"/>
  <c r="AM24" i="53"/>
  <c r="AM26" i="53"/>
  <c r="AM28" i="53"/>
  <c r="AM30" i="53"/>
  <c r="AM32" i="53"/>
  <c r="AM34" i="53"/>
  <c r="AM36" i="53"/>
  <c r="AM38" i="53"/>
  <c r="AM40" i="53"/>
  <c r="AM42" i="53"/>
  <c r="AM44" i="53"/>
  <c r="AM46" i="53"/>
  <c r="AM48" i="53"/>
  <c r="AM50" i="53"/>
  <c r="AM52" i="53"/>
  <c r="AM54" i="53"/>
  <c r="AM56" i="53"/>
  <c r="AM58" i="53"/>
  <c r="AM60" i="53"/>
  <c r="AM62" i="53"/>
  <c r="AM64" i="53"/>
  <c r="AM66" i="53"/>
  <c r="AM68" i="53"/>
  <c r="AM70" i="53"/>
  <c r="AM72" i="53"/>
  <c r="AM74" i="53"/>
  <c r="AM76" i="53"/>
  <c r="AM78" i="53"/>
  <c r="AM6" i="53"/>
  <c r="AL7" i="53"/>
  <c r="AL9" i="53"/>
  <c r="AL11" i="53"/>
  <c r="AL13" i="53"/>
  <c r="AL15" i="53"/>
  <c r="AL17" i="53"/>
  <c r="AL19" i="53"/>
  <c r="AL21" i="53"/>
  <c r="AL23" i="53"/>
  <c r="AL25" i="53"/>
  <c r="AL27" i="53"/>
  <c r="AL29" i="53"/>
  <c r="AL31" i="53"/>
  <c r="AL33" i="53"/>
  <c r="AL35" i="53"/>
  <c r="AL37" i="53"/>
  <c r="AL39" i="53"/>
  <c r="AL41" i="53"/>
  <c r="AL43" i="53"/>
  <c r="AL45" i="53"/>
  <c r="AL47" i="53"/>
  <c r="AL49" i="53"/>
  <c r="AL51" i="53"/>
  <c r="AL53" i="53"/>
  <c r="AL55" i="53"/>
  <c r="AL57" i="53"/>
  <c r="AL59" i="53"/>
  <c r="AL61" i="53"/>
  <c r="AL63" i="53"/>
  <c r="AL65" i="53"/>
  <c r="AL67" i="53"/>
  <c r="AL69" i="53"/>
  <c r="AL71" i="53"/>
  <c r="AL73" i="53"/>
  <c r="AL75" i="53"/>
  <c r="AL77" i="53"/>
  <c r="AL79" i="53"/>
  <c r="AL6" i="53"/>
  <c r="AL8" i="53"/>
  <c r="AL10" i="53"/>
  <c r="AL12" i="53"/>
  <c r="AL14" i="53"/>
  <c r="AL16" i="53"/>
  <c r="AL18" i="53"/>
  <c r="AL20" i="53"/>
  <c r="AL22" i="53"/>
  <c r="AL24" i="53"/>
  <c r="AL26" i="53"/>
  <c r="AL28" i="53"/>
  <c r="AL30" i="53"/>
  <c r="AL32" i="53"/>
  <c r="AL34" i="53"/>
  <c r="AL36" i="53"/>
  <c r="AL38" i="53"/>
  <c r="AL40" i="53"/>
  <c r="AL42" i="53"/>
  <c r="AL44" i="53"/>
  <c r="AL46" i="53"/>
  <c r="AL48" i="53"/>
  <c r="AL50" i="53"/>
  <c r="AL52" i="53"/>
  <c r="AL54" i="53"/>
  <c r="AL56" i="53"/>
  <c r="AL58" i="53"/>
  <c r="AL60" i="53"/>
  <c r="AL62" i="53"/>
  <c r="AL64" i="53"/>
  <c r="AL66" i="53"/>
  <c r="AL68" i="53"/>
  <c r="AL70" i="53"/>
  <c r="AL72" i="53"/>
  <c r="AL74" i="53"/>
  <c r="AL76" i="53"/>
  <c r="AL78" i="53"/>
  <c r="AR7" i="49"/>
  <c r="AR9" i="49"/>
  <c r="AR11" i="49"/>
  <c r="AR13" i="49"/>
  <c r="AR15" i="49"/>
  <c r="AR17" i="49"/>
  <c r="AR19" i="49"/>
  <c r="AR21" i="49"/>
  <c r="AR23" i="49"/>
  <c r="AR25" i="49"/>
  <c r="AR27" i="49"/>
  <c r="AR29" i="49"/>
  <c r="AR31" i="49"/>
  <c r="AR33" i="49"/>
  <c r="AR35" i="49"/>
  <c r="AR37" i="49"/>
  <c r="AR39" i="49"/>
  <c r="AR41" i="49"/>
  <c r="AR43" i="49"/>
  <c r="AR45" i="49"/>
  <c r="AR47" i="49"/>
  <c r="AR49" i="49"/>
  <c r="AR51" i="49"/>
  <c r="AR53" i="49"/>
  <c r="AR55" i="49"/>
  <c r="AR57" i="49"/>
  <c r="AR59" i="49"/>
  <c r="AR61" i="49"/>
  <c r="AR63" i="49"/>
  <c r="AR65" i="49"/>
  <c r="AR67" i="49"/>
  <c r="AR69" i="49"/>
  <c r="AR71" i="49"/>
  <c r="AR73" i="49"/>
  <c r="AR75" i="49"/>
  <c r="AR77" i="49"/>
  <c r="AR79" i="49"/>
  <c r="AR8" i="49"/>
  <c r="AR10" i="49"/>
  <c r="AR12" i="49"/>
  <c r="AR14" i="49"/>
  <c r="AR16" i="49"/>
  <c r="AR18" i="49"/>
  <c r="AR20" i="49"/>
  <c r="AR22" i="49"/>
  <c r="AR24" i="49"/>
  <c r="AR26" i="49"/>
  <c r="AR28" i="49"/>
  <c r="AR30" i="49"/>
  <c r="AR32" i="49"/>
  <c r="AR34" i="49"/>
  <c r="AR36" i="49"/>
  <c r="AR38" i="49"/>
  <c r="AR40" i="49"/>
  <c r="AR42" i="49"/>
  <c r="AR44" i="49"/>
  <c r="AR46" i="49"/>
  <c r="AR48" i="49"/>
  <c r="AR50" i="49"/>
  <c r="AR52" i="49"/>
  <c r="AR54" i="49"/>
  <c r="AR56" i="49"/>
  <c r="AR58" i="49"/>
  <c r="AR60" i="49"/>
  <c r="AR62" i="49"/>
  <c r="AR64" i="49"/>
  <c r="AR66" i="49"/>
  <c r="AR68" i="49"/>
  <c r="AR70" i="49"/>
  <c r="AR72" i="49"/>
  <c r="AR74" i="49"/>
  <c r="AR76" i="49"/>
  <c r="AR78" i="49"/>
  <c r="AR6" i="49"/>
  <c r="AP7" i="49"/>
  <c r="AP9" i="49"/>
  <c r="AP11" i="49"/>
  <c r="AP13" i="49"/>
  <c r="AP15" i="49"/>
  <c r="AP17" i="49"/>
  <c r="AP19" i="49"/>
  <c r="AP21" i="49"/>
  <c r="AP23" i="49"/>
  <c r="AP25" i="49"/>
  <c r="AP27" i="49"/>
  <c r="AP29" i="49"/>
  <c r="AP31" i="49"/>
  <c r="AP33" i="49"/>
  <c r="AP35" i="49"/>
  <c r="AP37" i="49"/>
  <c r="AP39" i="49"/>
  <c r="AP41" i="49"/>
  <c r="AP43" i="49"/>
  <c r="AP45" i="49"/>
  <c r="AP47" i="49"/>
  <c r="AP49" i="49"/>
  <c r="AP51" i="49"/>
  <c r="AP53" i="49"/>
  <c r="AP55" i="49"/>
  <c r="AP57" i="49"/>
  <c r="AP59" i="49"/>
  <c r="AP61" i="49"/>
  <c r="AP63" i="49"/>
  <c r="AP65" i="49"/>
  <c r="AP67" i="49"/>
  <c r="AP69" i="49"/>
  <c r="AP71" i="49"/>
  <c r="AP73" i="49"/>
  <c r="AP75" i="49"/>
  <c r="AP77" i="49"/>
  <c r="AP79" i="49"/>
  <c r="AP8" i="49"/>
  <c r="AP10" i="49"/>
  <c r="AP12" i="49"/>
  <c r="AP14" i="49"/>
  <c r="AP16" i="49"/>
  <c r="AP18" i="49"/>
  <c r="AP20" i="49"/>
  <c r="AP22" i="49"/>
  <c r="AP24" i="49"/>
  <c r="AP26" i="49"/>
  <c r="AP28" i="49"/>
  <c r="AP30" i="49"/>
  <c r="AP32" i="49"/>
  <c r="AP34" i="49"/>
  <c r="AP36" i="49"/>
  <c r="AP38" i="49"/>
  <c r="AP40" i="49"/>
  <c r="AP42" i="49"/>
  <c r="AP44" i="49"/>
  <c r="AP46" i="49"/>
  <c r="AP48" i="49"/>
  <c r="AP50" i="49"/>
  <c r="AP52" i="49"/>
  <c r="AP54" i="49"/>
  <c r="AP56" i="49"/>
  <c r="AP58" i="49"/>
  <c r="AP60" i="49"/>
  <c r="AP62" i="49"/>
  <c r="AP64" i="49"/>
  <c r="AP66" i="49"/>
  <c r="AP68" i="49"/>
  <c r="AP70" i="49"/>
  <c r="AP72" i="49"/>
  <c r="AP74" i="49"/>
  <c r="AP76" i="49"/>
  <c r="AP78" i="49"/>
  <c r="AP6" i="49"/>
  <c r="AO7" i="49"/>
  <c r="AO9" i="49"/>
  <c r="AO11" i="49"/>
  <c r="AO13" i="49"/>
  <c r="AO15" i="49"/>
  <c r="AO17" i="49"/>
  <c r="AO19" i="49"/>
  <c r="AO21" i="49"/>
  <c r="AO23" i="49"/>
  <c r="AO25" i="49"/>
  <c r="AO27" i="49"/>
  <c r="AO29" i="49"/>
  <c r="AO31" i="49"/>
  <c r="AO33" i="49"/>
  <c r="AO35" i="49"/>
  <c r="AO37" i="49"/>
  <c r="AO39" i="49"/>
  <c r="AO41" i="49"/>
  <c r="AO43" i="49"/>
  <c r="AO45" i="49"/>
  <c r="AO47" i="49"/>
  <c r="AO49" i="49"/>
  <c r="AO51" i="49"/>
  <c r="AO53" i="49"/>
  <c r="AO55" i="49"/>
  <c r="AO57" i="49"/>
  <c r="AO59" i="49"/>
  <c r="AO61" i="49"/>
  <c r="AO63" i="49"/>
  <c r="AO65" i="49"/>
  <c r="AO67" i="49"/>
  <c r="AO69" i="49"/>
  <c r="AO71" i="49"/>
  <c r="AO73" i="49"/>
  <c r="AO75" i="49"/>
  <c r="AO77" i="49"/>
  <c r="AO79" i="49"/>
  <c r="AO6" i="49"/>
  <c r="AO8" i="49"/>
  <c r="AO10" i="49"/>
  <c r="AO12" i="49"/>
  <c r="AO14" i="49"/>
  <c r="AO16" i="49"/>
  <c r="AO18" i="49"/>
  <c r="AO20" i="49"/>
  <c r="AO22" i="49"/>
  <c r="AO24" i="49"/>
  <c r="AO26" i="49"/>
  <c r="AO28" i="49"/>
  <c r="AO30" i="49"/>
  <c r="AO32" i="49"/>
  <c r="AO34" i="49"/>
  <c r="AO36" i="49"/>
  <c r="AO38" i="49"/>
  <c r="AO40" i="49"/>
  <c r="AO42" i="49"/>
  <c r="AO44" i="49"/>
  <c r="AO46" i="49"/>
  <c r="AO48" i="49"/>
  <c r="AO50" i="49"/>
  <c r="AO52" i="49"/>
  <c r="AO54" i="49"/>
  <c r="AO56" i="49"/>
  <c r="AO58" i="49"/>
  <c r="AO60" i="49"/>
  <c r="AO62" i="49"/>
  <c r="AO64" i="49"/>
  <c r="AO66" i="49"/>
  <c r="AO68" i="49"/>
  <c r="AO70" i="49"/>
  <c r="AO72" i="49"/>
  <c r="AO74" i="49"/>
  <c r="AO76" i="49"/>
  <c r="AO78" i="49"/>
  <c r="AN7" i="49"/>
  <c r="AN9" i="49"/>
  <c r="AN11" i="49"/>
  <c r="AN13" i="49"/>
  <c r="AN15" i="49"/>
  <c r="AN17" i="49"/>
  <c r="AN19" i="49"/>
  <c r="AN21" i="49"/>
  <c r="AN23" i="49"/>
  <c r="AN25" i="49"/>
  <c r="AN27" i="49"/>
  <c r="AN29" i="49"/>
  <c r="AN31" i="49"/>
  <c r="AN33" i="49"/>
  <c r="AN35" i="49"/>
  <c r="AN37" i="49"/>
  <c r="AN39" i="49"/>
  <c r="AN41" i="49"/>
  <c r="AN43" i="49"/>
  <c r="AN45" i="49"/>
  <c r="AN47" i="49"/>
  <c r="AN49" i="49"/>
  <c r="AN51" i="49"/>
  <c r="AN53" i="49"/>
  <c r="AN55" i="49"/>
  <c r="AN57" i="49"/>
  <c r="AN59" i="49"/>
  <c r="AN61" i="49"/>
  <c r="AN63" i="49"/>
  <c r="AN65" i="49"/>
  <c r="AN67" i="49"/>
  <c r="AN69" i="49"/>
  <c r="AN71" i="49"/>
  <c r="AN73" i="49"/>
  <c r="AN75" i="49"/>
  <c r="AN77" i="49"/>
  <c r="AN79" i="49"/>
  <c r="AN8" i="49"/>
  <c r="AN10" i="49"/>
  <c r="AN12" i="49"/>
  <c r="AN14" i="49"/>
  <c r="AN16" i="49"/>
  <c r="AN18" i="49"/>
  <c r="AN20" i="49"/>
  <c r="AN22" i="49"/>
  <c r="AN24" i="49"/>
  <c r="AN26" i="49"/>
  <c r="AN28" i="49"/>
  <c r="AN30" i="49"/>
  <c r="AN32" i="49"/>
  <c r="AN34" i="49"/>
  <c r="AN36" i="49"/>
  <c r="AN38" i="49"/>
  <c r="AN40" i="49"/>
  <c r="AN42" i="49"/>
  <c r="AN44" i="49"/>
  <c r="AN46" i="49"/>
  <c r="AN48" i="49"/>
  <c r="AN50" i="49"/>
  <c r="AN52" i="49"/>
  <c r="AN54" i="49"/>
  <c r="AN56" i="49"/>
  <c r="AN58" i="49"/>
  <c r="AN60" i="49"/>
  <c r="AN62" i="49"/>
  <c r="AN64" i="49"/>
  <c r="AN66" i="49"/>
  <c r="AN68" i="49"/>
  <c r="AN70" i="49"/>
  <c r="AN72" i="49"/>
  <c r="AN74" i="49"/>
  <c r="AN76" i="49"/>
  <c r="AN78" i="49"/>
  <c r="AN6" i="49"/>
  <c r="AM79" i="49"/>
  <c r="AM8" i="49"/>
  <c r="AM10" i="49"/>
  <c r="AM12" i="49"/>
  <c r="AM14" i="49"/>
  <c r="AM16" i="49"/>
  <c r="AM18" i="49"/>
  <c r="AM20" i="49"/>
  <c r="AM22" i="49"/>
  <c r="AM24" i="49"/>
  <c r="AM26" i="49"/>
  <c r="AM28" i="49"/>
  <c r="AM30" i="49"/>
  <c r="AM32" i="49"/>
  <c r="AM34" i="49"/>
  <c r="AM36" i="49"/>
  <c r="AM38" i="49"/>
  <c r="AM40" i="49"/>
  <c r="AM42" i="49"/>
  <c r="AM44" i="49"/>
  <c r="AM46" i="49"/>
  <c r="AM48" i="49"/>
  <c r="AM50" i="49"/>
  <c r="AM52" i="49"/>
  <c r="AM54" i="49"/>
  <c r="AM56" i="49"/>
  <c r="AM58" i="49"/>
  <c r="AM60" i="49"/>
  <c r="AM62" i="49"/>
  <c r="AM64" i="49"/>
  <c r="AM66" i="49"/>
  <c r="AM68" i="49"/>
  <c r="AM70" i="49"/>
  <c r="AM72" i="49"/>
  <c r="AM74" i="49"/>
  <c r="AM76" i="49"/>
  <c r="AM78" i="49"/>
  <c r="AM6" i="49"/>
  <c r="AM7" i="49"/>
  <c r="AM9" i="49"/>
  <c r="AM11" i="49"/>
  <c r="AM13" i="49"/>
  <c r="AM15" i="49"/>
  <c r="AM17" i="49"/>
  <c r="AM19" i="49"/>
  <c r="AM21" i="49"/>
  <c r="AM23" i="49"/>
  <c r="AM25" i="49"/>
  <c r="AM27" i="49"/>
  <c r="AM29" i="49"/>
  <c r="AM31" i="49"/>
  <c r="AM33" i="49"/>
  <c r="AM35" i="49"/>
  <c r="AM37" i="49"/>
  <c r="AM39" i="49"/>
  <c r="AM41" i="49"/>
  <c r="AM43" i="49"/>
  <c r="AM45" i="49"/>
  <c r="AM47" i="49"/>
  <c r="AM49" i="49"/>
  <c r="AM51" i="49"/>
  <c r="AM53" i="49"/>
  <c r="AM55" i="49"/>
  <c r="AM57" i="49"/>
  <c r="AM59" i="49"/>
  <c r="AM61" i="49"/>
  <c r="AM63" i="49"/>
  <c r="AM65" i="49"/>
  <c r="AM67" i="49"/>
  <c r="AM69" i="49"/>
  <c r="AM71" i="49"/>
  <c r="AM73" i="49"/>
  <c r="AM75" i="49"/>
  <c r="AM77" i="49"/>
  <c r="AN8" i="48"/>
  <c r="AN10" i="48"/>
  <c r="AN12" i="48"/>
  <c r="AN14" i="48"/>
  <c r="AN16" i="48"/>
  <c r="AN18" i="48"/>
  <c r="AN20" i="48"/>
  <c r="AN22" i="48"/>
  <c r="AN24" i="48"/>
  <c r="AN26" i="48"/>
  <c r="AN28" i="48"/>
  <c r="AN30" i="48"/>
  <c r="AN32" i="48"/>
  <c r="AN34" i="48"/>
  <c r="AN36" i="48"/>
  <c r="AN38" i="48"/>
  <c r="AN40" i="48"/>
  <c r="AN42" i="48"/>
  <c r="AN44" i="48"/>
  <c r="AN46" i="48"/>
  <c r="AN48" i="48"/>
  <c r="AN50" i="48"/>
  <c r="AN52" i="48"/>
  <c r="AN54" i="48"/>
  <c r="AN56" i="48"/>
  <c r="AN58" i="48"/>
  <c r="AN60" i="48"/>
  <c r="AN62" i="48"/>
  <c r="AN64" i="48"/>
  <c r="AN66" i="48"/>
  <c r="AN68" i="48"/>
  <c r="AN70" i="48"/>
  <c r="AN72" i="48"/>
  <c r="AN74" i="48"/>
  <c r="AN76" i="48"/>
  <c r="AN78" i="48"/>
  <c r="AN6" i="48"/>
  <c r="AN7" i="48"/>
  <c r="AN9" i="48"/>
  <c r="AN11" i="48"/>
  <c r="AN13" i="48"/>
  <c r="AN15" i="48"/>
  <c r="AN17" i="48"/>
  <c r="AN19" i="48"/>
  <c r="AN21" i="48"/>
  <c r="AN23" i="48"/>
  <c r="AN25" i="48"/>
  <c r="AN27" i="48"/>
  <c r="AN29" i="48"/>
  <c r="AN31" i="48"/>
  <c r="AN33" i="48"/>
  <c r="AN35" i="48"/>
  <c r="AN37" i="48"/>
  <c r="AN39" i="48"/>
  <c r="AN41" i="48"/>
  <c r="AN43" i="48"/>
  <c r="AN45" i="48"/>
  <c r="AN47" i="48"/>
  <c r="AN49" i="48"/>
  <c r="AN51" i="48"/>
  <c r="AN53" i="48"/>
  <c r="AN55" i="48"/>
  <c r="AN57" i="48"/>
  <c r="AN59" i="48"/>
  <c r="AN61" i="48"/>
  <c r="AN63" i="48"/>
  <c r="AN65" i="48"/>
  <c r="AN67" i="48"/>
  <c r="AN69" i="48"/>
  <c r="AN71" i="48"/>
  <c r="AN73" i="48"/>
  <c r="AN75" i="48"/>
  <c r="AN77" i="48"/>
  <c r="AN79" i="48"/>
  <c r="AL8" i="48"/>
  <c r="AL10" i="48"/>
  <c r="AL12" i="48"/>
  <c r="AL14" i="48"/>
  <c r="AL16" i="48"/>
  <c r="AL18" i="48"/>
  <c r="AL20" i="48"/>
  <c r="AL22" i="48"/>
  <c r="AL24" i="48"/>
  <c r="AL26" i="48"/>
  <c r="AL28" i="48"/>
  <c r="AL30" i="48"/>
  <c r="AL32" i="48"/>
  <c r="AL34" i="48"/>
  <c r="AL36" i="48"/>
  <c r="AL38" i="48"/>
  <c r="AL40" i="48"/>
  <c r="AL42" i="48"/>
  <c r="AL44" i="48"/>
  <c r="AL46" i="48"/>
  <c r="AL48" i="48"/>
  <c r="AL50" i="48"/>
  <c r="AL52" i="48"/>
  <c r="AL54" i="48"/>
  <c r="AL56" i="48"/>
  <c r="AL58" i="48"/>
  <c r="AL60" i="48"/>
  <c r="AL62" i="48"/>
  <c r="AL64" i="48"/>
  <c r="AL66" i="48"/>
  <c r="AL68" i="48"/>
  <c r="AL70" i="48"/>
  <c r="AL72" i="48"/>
  <c r="AL74" i="48"/>
  <c r="AL76" i="48"/>
  <c r="AL78" i="48"/>
  <c r="AL9" i="48"/>
  <c r="AL11" i="48"/>
  <c r="AL13" i="48"/>
  <c r="AL15" i="48"/>
  <c r="AL17" i="48"/>
  <c r="AL19" i="48"/>
  <c r="AL23" i="48"/>
  <c r="AL25" i="48"/>
  <c r="AL29" i="48"/>
  <c r="AL33" i="48"/>
  <c r="AL37" i="48"/>
  <c r="AL41" i="48"/>
  <c r="AL43" i="48"/>
  <c r="AL49" i="48"/>
  <c r="AL53" i="48"/>
  <c r="AL55" i="48"/>
  <c r="AL59" i="48"/>
  <c r="AL63" i="48"/>
  <c r="AL65" i="48"/>
  <c r="AL69" i="48"/>
  <c r="AL73" i="48"/>
  <c r="AL77" i="48"/>
  <c r="AL79" i="48"/>
  <c r="AL6" i="48"/>
  <c r="AL7" i="48"/>
  <c r="AL21" i="48"/>
  <c r="AL27" i="48"/>
  <c r="AL31" i="48"/>
  <c r="AL35" i="48"/>
  <c r="AL39" i="48"/>
  <c r="AL45" i="48"/>
  <c r="AL47" i="48"/>
  <c r="AL51" i="48"/>
  <c r="AL57" i="48"/>
  <c r="AL61" i="48"/>
  <c r="AL67" i="48"/>
  <c r="AL71" i="48"/>
  <c r="AL75" i="48"/>
  <c r="AK8" i="48"/>
  <c r="AK10" i="48"/>
  <c r="AK12" i="48"/>
  <c r="AK14" i="48"/>
  <c r="AK16" i="48"/>
  <c r="AK18" i="48"/>
  <c r="AK20" i="48"/>
  <c r="AK22" i="48"/>
  <c r="AK24" i="48"/>
  <c r="AK26" i="48"/>
  <c r="AK28" i="48"/>
  <c r="AK30" i="48"/>
  <c r="AK32" i="48"/>
  <c r="AK34" i="48"/>
  <c r="AK36" i="48"/>
  <c r="AK38" i="48"/>
  <c r="AK40" i="48"/>
  <c r="AK42" i="48"/>
  <c r="AK44" i="48"/>
  <c r="AK46" i="48"/>
  <c r="AK48" i="48"/>
  <c r="AK50" i="48"/>
  <c r="AK52" i="48"/>
  <c r="AK54" i="48"/>
  <c r="AK56" i="48"/>
  <c r="AK58" i="48"/>
  <c r="AK60" i="48"/>
  <c r="AK62" i="48"/>
  <c r="AK64" i="48"/>
  <c r="AK66" i="48"/>
  <c r="AK68" i="48"/>
  <c r="AK70" i="48"/>
  <c r="AK72" i="48"/>
  <c r="AK74" i="48"/>
  <c r="AK76" i="48"/>
  <c r="AK78" i="48"/>
  <c r="AK6" i="48"/>
  <c r="AK7" i="48"/>
  <c r="AK9" i="48"/>
  <c r="AK11" i="48"/>
  <c r="AK13" i="48"/>
  <c r="AK15" i="48"/>
  <c r="AK17" i="48"/>
  <c r="AK19" i="48"/>
  <c r="AK21" i="48"/>
  <c r="AK23" i="48"/>
  <c r="AK25" i="48"/>
  <c r="AK27" i="48"/>
  <c r="AK29" i="48"/>
  <c r="AK31" i="48"/>
  <c r="AK33" i="48"/>
  <c r="AK35" i="48"/>
  <c r="AK37" i="48"/>
  <c r="AK39" i="48"/>
  <c r="AK41" i="48"/>
  <c r="AK43" i="48"/>
  <c r="AK45" i="48"/>
  <c r="AK47" i="48"/>
  <c r="AK49" i="48"/>
  <c r="AK51" i="48"/>
  <c r="AK53" i="48"/>
  <c r="AK55" i="48"/>
  <c r="AK57" i="48"/>
  <c r="AK59" i="48"/>
  <c r="AK61" i="48"/>
  <c r="AK63" i="48"/>
  <c r="AK65" i="48"/>
  <c r="AK67" i="48"/>
  <c r="AK69" i="48"/>
  <c r="AK71" i="48"/>
  <c r="AK73" i="48"/>
  <c r="AK75" i="48"/>
  <c r="AK77" i="48"/>
  <c r="AK79" i="48"/>
  <c r="AF6" i="47"/>
  <c r="AG9" i="47"/>
  <c r="AH9" i="47"/>
  <c r="AL7" i="47"/>
  <c r="AL10" i="47"/>
  <c r="AL12" i="47"/>
  <c r="AL14" i="47"/>
  <c r="AL16" i="47"/>
  <c r="AL18" i="47"/>
  <c r="AL20" i="47"/>
  <c r="AL22" i="47"/>
  <c r="AL24" i="47"/>
  <c r="AL26" i="47"/>
  <c r="AL28" i="47"/>
  <c r="AL30" i="47"/>
  <c r="AL32" i="47"/>
  <c r="AL34" i="47"/>
  <c r="AL36" i="47"/>
  <c r="AL38" i="47"/>
  <c r="AL40" i="47"/>
  <c r="AL42" i="47"/>
  <c r="AL44" i="47"/>
  <c r="AL46" i="47"/>
  <c r="AL48" i="47"/>
  <c r="AL50" i="47"/>
  <c r="AL52" i="47"/>
  <c r="AL54" i="47"/>
  <c r="AL56" i="47"/>
  <c r="AL58" i="47"/>
  <c r="AL60" i="47"/>
  <c r="AL62" i="47"/>
  <c r="AL64" i="47"/>
  <c r="AL66" i="47"/>
  <c r="AL68" i="47"/>
  <c r="AL70" i="47"/>
  <c r="AL72" i="47"/>
  <c r="AL74" i="47"/>
  <c r="AL76" i="47"/>
  <c r="AL78" i="47"/>
  <c r="AL6" i="47"/>
  <c r="AL61" i="47"/>
  <c r="AL65" i="47"/>
  <c r="AL69" i="47"/>
  <c r="AL73" i="47"/>
  <c r="AL77" i="47"/>
  <c r="AL8" i="47"/>
  <c r="AL11" i="47"/>
  <c r="AL13" i="47"/>
  <c r="AL15" i="47"/>
  <c r="AL17" i="47"/>
  <c r="AL19" i="47"/>
  <c r="AL21" i="47"/>
  <c r="AL23" i="47"/>
  <c r="AL25" i="47"/>
  <c r="AL27" i="47"/>
  <c r="AL29" i="47"/>
  <c r="AL31" i="47"/>
  <c r="AL33" i="47"/>
  <c r="AL35" i="47"/>
  <c r="AL37" i="47"/>
  <c r="AL39" i="47"/>
  <c r="AL41" i="47"/>
  <c r="AL43" i="47"/>
  <c r="AL45" i="47"/>
  <c r="AL47" i="47"/>
  <c r="AL49" i="47"/>
  <c r="AL51" i="47"/>
  <c r="AL53" i="47"/>
  <c r="AL55" i="47"/>
  <c r="AL57" i="47"/>
  <c r="AL59" i="47"/>
  <c r="AL63" i="47"/>
  <c r="AL67" i="47"/>
  <c r="AL71" i="47"/>
  <c r="AL75" i="47"/>
  <c r="AL79" i="47"/>
  <c r="AF9" i="47"/>
  <c r="AK8" i="47"/>
  <c r="AK10" i="47"/>
  <c r="AK12" i="47"/>
  <c r="AK14" i="47"/>
  <c r="AK16" i="47"/>
  <c r="AK18" i="47"/>
  <c r="AK20" i="47"/>
  <c r="AK22" i="47"/>
  <c r="AK24" i="47"/>
  <c r="AK26" i="47"/>
  <c r="AK28" i="47"/>
  <c r="AK30" i="47"/>
  <c r="AK32" i="47"/>
  <c r="AK34" i="47"/>
  <c r="AK36" i="47"/>
  <c r="AK38" i="47"/>
  <c r="AK40" i="47"/>
  <c r="AK42" i="47"/>
  <c r="AK44" i="47"/>
  <c r="AK46" i="47"/>
  <c r="AK48" i="47"/>
  <c r="AK50" i="47"/>
  <c r="AK52" i="47"/>
  <c r="AK54" i="47"/>
  <c r="AK56" i="47"/>
  <c r="AK58" i="47"/>
  <c r="AK60" i="47"/>
  <c r="AK62" i="47"/>
  <c r="AK64" i="47"/>
  <c r="AK66" i="47"/>
  <c r="AK68" i="47"/>
  <c r="AK70" i="47"/>
  <c r="AK72" i="47"/>
  <c r="AK74" i="47"/>
  <c r="AK76" i="47"/>
  <c r="AK78" i="47"/>
  <c r="AK7" i="47"/>
  <c r="AK9" i="47"/>
  <c r="AK11" i="47"/>
  <c r="AK13" i="47"/>
  <c r="AK15" i="47"/>
  <c r="AK17" i="47"/>
  <c r="AK19" i="47"/>
  <c r="AK21" i="47"/>
  <c r="AK23" i="47"/>
  <c r="AK25" i="47"/>
  <c r="AK27" i="47"/>
  <c r="AK29" i="47"/>
  <c r="AK31" i="47"/>
  <c r="AK33" i="47"/>
  <c r="AK35" i="47"/>
  <c r="AK37" i="47"/>
  <c r="AK39" i="47"/>
  <c r="AK41" i="47"/>
  <c r="AK43" i="47"/>
  <c r="AK45" i="47"/>
  <c r="AK47" i="47"/>
  <c r="AK49" i="47"/>
  <c r="AK51" i="47"/>
  <c r="AK53" i="47"/>
  <c r="AK55" i="47"/>
  <c r="AK57" i="47"/>
  <c r="AK59" i="47"/>
  <c r="AK61" i="47"/>
  <c r="AK63" i="47"/>
  <c r="AK65" i="47"/>
  <c r="AK67" i="47"/>
  <c r="AK69" i="47"/>
  <c r="AK71" i="47"/>
  <c r="AK73" i="47"/>
  <c r="AK75" i="47"/>
  <c r="AK77" i="47"/>
  <c r="AK79" i="47"/>
  <c r="AG9" i="45"/>
  <c r="AH9" i="45"/>
  <c r="AF9" i="45"/>
  <c r="AJ9" i="53"/>
  <c r="AG46" i="53"/>
  <c r="AH46" i="53"/>
  <c r="AF46" i="53"/>
  <c r="AG42" i="53"/>
  <c r="AH42" i="53"/>
  <c r="AF42" i="53"/>
  <c r="AG40" i="53"/>
  <c r="AH40" i="53"/>
  <c r="AF40" i="53"/>
  <c r="AG38" i="53"/>
  <c r="AH38" i="53"/>
  <c r="AF38" i="53"/>
  <c r="AG32" i="53"/>
  <c r="AH32" i="53"/>
  <c r="AF32" i="53"/>
  <c r="AG30" i="53"/>
  <c r="AH30" i="53"/>
  <c r="AF30" i="53"/>
  <c r="AG28" i="53"/>
  <c r="AH28" i="53"/>
  <c r="AF28" i="53"/>
  <c r="AG18" i="53"/>
  <c r="AH18" i="53"/>
  <c r="AF18" i="53"/>
  <c r="AG11" i="53"/>
  <c r="AH11" i="53"/>
  <c r="AF11" i="53"/>
  <c r="AG9" i="53"/>
  <c r="AH9" i="53"/>
  <c r="AF9" i="53"/>
  <c r="AL7" i="49"/>
  <c r="AL9" i="49"/>
  <c r="AK7" i="49"/>
  <c r="AK9" i="49"/>
  <c r="AL8" i="49"/>
  <c r="AK8" i="49"/>
  <c r="AK6" i="49"/>
  <c r="AJ10" i="49"/>
  <c r="AL10" i="49" s="1"/>
  <c r="AG23" i="49"/>
  <c r="AH23" i="49"/>
  <c r="AF23" i="49"/>
  <c r="AG17" i="49"/>
  <c r="AH17" i="49"/>
  <c r="AF17" i="49"/>
  <c r="AG14" i="49"/>
  <c r="AH14" i="49"/>
  <c r="AF14" i="49"/>
  <c r="AG12" i="49"/>
  <c r="AH12" i="49"/>
  <c r="AF12" i="49"/>
  <c r="AG10" i="49"/>
  <c r="AH10" i="49"/>
  <c r="AF10" i="49"/>
  <c r="AG8" i="49"/>
  <c r="AH8" i="49"/>
  <c r="AF8" i="49"/>
  <c r="AG6" i="49"/>
  <c r="AH6" i="49"/>
  <c r="AF6" i="49"/>
  <c r="AG13" i="48"/>
  <c r="AH13" i="48"/>
  <c r="AF13" i="48"/>
  <c r="AG9" i="48"/>
  <c r="AH9" i="48"/>
  <c r="AF9" i="48"/>
  <c r="AG7" i="48"/>
  <c r="AH7" i="48"/>
  <c r="AF7" i="48"/>
  <c r="AJ9" i="48"/>
  <c r="AH6" i="47"/>
  <c r="AK6" i="47"/>
  <c r="AJ9" i="47"/>
  <c r="W97" i="46"/>
  <c r="Y96" i="46"/>
  <c r="X96" i="46"/>
  <c r="W92" i="46"/>
  <c r="Y91" i="46"/>
  <c r="AI91" i="46" s="1"/>
  <c r="X91" i="46"/>
  <c r="Y77" i="46"/>
  <c r="AI77" i="46" s="1"/>
  <c r="X77" i="46"/>
  <c r="W78" i="46"/>
  <c r="W74" i="46"/>
  <c r="W72" i="46"/>
  <c r="Y73" i="46"/>
  <c r="X73" i="46"/>
  <c r="Y71" i="46"/>
  <c r="AI71" i="46" s="1"/>
  <c r="X71" i="46"/>
  <c r="Y66" i="46"/>
  <c r="AI66" i="46" s="1"/>
  <c r="X66" i="46"/>
  <c r="W67" i="46"/>
  <c r="Y64" i="46"/>
  <c r="AI64" i="46" s="1"/>
  <c r="X64" i="46"/>
  <c r="W65" i="46"/>
  <c r="Y56" i="46"/>
  <c r="AI56" i="46" s="1"/>
  <c r="X56" i="46"/>
  <c r="Y45" i="46"/>
  <c r="AI45" i="46" s="1"/>
  <c r="X45" i="46"/>
  <c r="Y41" i="46"/>
  <c r="X41" i="46"/>
  <c r="Y39" i="46"/>
  <c r="AI39" i="46" s="1"/>
  <c r="X39" i="46"/>
  <c r="W46" i="46"/>
  <c r="W42" i="46"/>
  <c r="W40" i="46"/>
  <c r="W35" i="46"/>
  <c r="W38" i="46"/>
  <c r="Y37" i="46"/>
  <c r="AI37" i="46" s="1"/>
  <c r="X37" i="46"/>
  <c r="Y34" i="46"/>
  <c r="X34" i="46"/>
  <c r="X27" i="46"/>
  <c r="Y27" i="46" s="1"/>
  <c r="AI27" i="46" s="1"/>
  <c r="W28" i="46"/>
  <c r="Y16" i="46"/>
  <c r="AI16" i="46" s="1"/>
  <c r="X16" i="46"/>
  <c r="W17" i="46"/>
  <c r="W13" i="46"/>
  <c r="W8" i="46"/>
  <c r="Y12" i="46"/>
  <c r="X12" i="46"/>
  <c r="Y7" i="46"/>
  <c r="X7" i="46"/>
  <c r="AZ25" i="65" l="1"/>
  <c r="EF24" i="65"/>
  <c r="EG24" i="65" s="1"/>
  <c r="DD25" i="65"/>
  <c r="DE25" i="65" s="1"/>
  <c r="CB24" i="65"/>
  <c r="CC24" i="65" s="1"/>
  <c r="X25" i="65"/>
  <c r="Y25" i="65" s="1"/>
  <c r="AL25" i="64"/>
  <c r="AI9" i="64"/>
  <c r="AI7" i="64"/>
  <c r="AI10" i="64"/>
  <c r="AI11" i="64"/>
  <c r="AI8" i="64"/>
  <c r="AI12" i="64"/>
  <c r="AZ24" i="62"/>
  <c r="X25" i="62"/>
  <c r="Y14" i="61"/>
  <c r="CG7" i="61"/>
  <c r="CC8" i="61"/>
  <c r="CC10" i="61"/>
  <c r="CC12" i="61"/>
  <c r="CC14" i="61"/>
  <c r="CC16" i="61"/>
  <c r="CC7" i="61"/>
  <c r="CG9" i="61"/>
  <c r="CG8" i="61"/>
  <c r="CC9" i="61"/>
  <c r="CC11" i="61"/>
  <c r="CC13" i="61"/>
  <c r="CC15" i="61"/>
  <c r="CC17" i="61"/>
  <c r="CG10" i="61"/>
  <c r="CG11" i="61"/>
  <c r="CG12" i="61"/>
  <c r="CG13" i="61"/>
  <c r="CG14" i="61"/>
  <c r="CG15" i="61"/>
  <c r="CG16" i="61"/>
  <c r="CG17" i="61"/>
  <c r="CG18" i="61"/>
  <c r="CG19" i="61"/>
  <c r="CG20" i="61"/>
  <c r="CF23" i="61"/>
  <c r="CG23" i="61" s="1"/>
  <c r="Y23" i="61"/>
  <c r="Y21" i="61"/>
  <c r="Y19" i="61"/>
  <c r="Y17" i="61"/>
  <c r="Y13" i="61"/>
  <c r="BE23" i="61"/>
  <c r="BE10" i="61"/>
  <c r="BE9" i="61"/>
  <c r="BE11" i="61"/>
  <c r="BE12" i="61"/>
  <c r="BE13" i="61"/>
  <c r="BE14" i="61"/>
  <c r="BE15" i="61"/>
  <c r="BE16" i="61"/>
  <c r="BE17" i="61"/>
  <c r="BE18" i="61"/>
  <c r="BE19" i="61"/>
  <c r="BE20" i="61"/>
  <c r="BE21" i="61"/>
  <c r="BE22" i="61"/>
  <c r="BE8" i="61"/>
  <c r="BA9" i="61"/>
  <c r="BA11" i="61"/>
  <c r="BA13" i="61"/>
  <c r="BA15" i="61"/>
  <c r="BA17" i="61"/>
  <c r="BA19" i="61"/>
  <c r="BA21" i="61"/>
  <c r="BA23" i="61"/>
  <c r="BA7" i="61"/>
  <c r="BA8" i="61"/>
  <c r="BA10" i="61"/>
  <c r="BA12" i="61"/>
  <c r="BA14" i="61"/>
  <c r="BA16" i="61"/>
  <c r="BA18" i="61"/>
  <c r="BA20" i="61"/>
  <c r="BA22" i="61"/>
  <c r="BA24" i="61"/>
  <c r="BD24" i="61"/>
  <c r="BE24" i="61" s="1"/>
  <c r="X29" i="61"/>
  <c r="Y29" i="61" s="1"/>
  <c r="CB20" i="72"/>
  <c r="X27" i="72"/>
  <c r="Y26" i="72"/>
  <c r="AJ11" i="45"/>
  <c r="AJ10" i="53"/>
  <c r="AK10" i="49"/>
  <c r="AJ11" i="49"/>
  <c r="AJ10" i="48"/>
  <c r="AJ10" i="47"/>
  <c r="Z34" i="46"/>
  <c r="Z12" i="46"/>
  <c r="Z73" i="46"/>
  <c r="AA73" i="46" s="1"/>
  <c r="AE73" i="46" s="1"/>
  <c r="Z39" i="46"/>
  <c r="AB66" i="46"/>
  <c r="AI73" i="46"/>
  <c r="AI12" i="46"/>
  <c r="Z16" i="46"/>
  <c r="AI7" i="46"/>
  <c r="AB7" i="46"/>
  <c r="Z41" i="46"/>
  <c r="AA41" i="46" s="1"/>
  <c r="AE41" i="46" s="1"/>
  <c r="AI41" i="46"/>
  <c r="AC7" i="46"/>
  <c r="AD7" i="46" s="1"/>
  <c r="Z7" i="46"/>
  <c r="AA7" i="46" s="1"/>
  <c r="AE7" i="46" s="1"/>
  <c r="AC12" i="46"/>
  <c r="AD12" i="46" s="1"/>
  <c r="AB41" i="46"/>
  <c r="AB64" i="46"/>
  <c r="Z71" i="46"/>
  <c r="AA71" i="46" s="1"/>
  <c r="AE71" i="46" s="1"/>
  <c r="AH71" i="46" s="1"/>
  <c r="AB73" i="46"/>
  <c r="AB91" i="46"/>
  <c r="AB96" i="46"/>
  <c r="Z96" i="46"/>
  <c r="AA96" i="46" s="1"/>
  <c r="AE96" i="46" s="1"/>
  <c r="AG96" i="46" s="1"/>
  <c r="AI96" i="46"/>
  <c r="AC96" i="46"/>
  <c r="AD96" i="46" s="1"/>
  <c r="AC91" i="46"/>
  <c r="AD91" i="46" s="1"/>
  <c r="Z91" i="46"/>
  <c r="AA91" i="46" s="1"/>
  <c r="AE91" i="46" s="1"/>
  <c r="AB77" i="46"/>
  <c r="Z77" i="46"/>
  <c r="AA77" i="46" s="1"/>
  <c r="AE77" i="46" s="1"/>
  <c r="AG77" i="46" s="1"/>
  <c r="AC77" i="46"/>
  <c r="AD77" i="46" s="1"/>
  <c r="AG73" i="46"/>
  <c r="AF73" i="46"/>
  <c r="AH73" i="46"/>
  <c r="AG71" i="46"/>
  <c r="AB71" i="46"/>
  <c r="AC71" i="46"/>
  <c r="AD71" i="46" s="1"/>
  <c r="AC66" i="46"/>
  <c r="AD66" i="46" s="1"/>
  <c r="Z66" i="46"/>
  <c r="AA66" i="46" s="1"/>
  <c r="AE66" i="46" s="1"/>
  <c r="AG66" i="46" s="1"/>
  <c r="Z64" i="46"/>
  <c r="AA64" i="46" s="1"/>
  <c r="AE64" i="46" s="1"/>
  <c r="AF64" i="46" s="1"/>
  <c r="AC64" i="46"/>
  <c r="AD64" i="46" s="1"/>
  <c r="AB56" i="46"/>
  <c r="Z56" i="46"/>
  <c r="AA56" i="46" s="1"/>
  <c r="AE56" i="46" s="1"/>
  <c r="AG56" i="46" s="1"/>
  <c r="AC45" i="46"/>
  <c r="AD45" i="46" s="1"/>
  <c r="Z45" i="46"/>
  <c r="AA45" i="46" s="1"/>
  <c r="AE45" i="46" s="1"/>
  <c r="AG45" i="46" s="1"/>
  <c r="AB45" i="46"/>
  <c r="AF45" i="46"/>
  <c r="AH41" i="46"/>
  <c r="AG41" i="46"/>
  <c r="AF41" i="46"/>
  <c r="AC41" i="46"/>
  <c r="AD41" i="46" s="1"/>
  <c r="AB39" i="46"/>
  <c r="AA39" i="46"/>
  <c r="AE39" i="46" s="1"/>
  <c r="AH39" i="46" s="1"/>
  <c r="AC39" i="46"/>
  <c r="AD39" i="46" s="1"/>
  <c r="AC37" i="46"/>
  <c r="AD37" i="46" s="1"/>
  <c r="Z37" i="46"/>
  <c r="AA37" i="46" s="1"/>
  <c r="AE37" i="46" s="1"/>
  <c r="AB37" i="46"/>
  <c r="AA34" i="46"/>
  <c r="AE34" i="46" s="1"/>
  <c r="AC34" i="46"/>
  <c r="AD34" i="46" s="1"/>
  <c r="AI34" i="46"/>
  <c r="AB34" i="46"/>
  <c r="AC27" i="46"/>
  <c r="AD27" i="46" s="1"/>
  <c r="AB27" i="46"/>
  <c r="Z27" i="46"/>
  <c r="AA27" i="46" s="1"/>
  <c r="AE27" i="46" s="1"/>
  <c r="AG7" i="46"/>
  <c r="AH7" i="46"/>
  <c r="AC16" i="46"/>
  <c r="AD16" i="46" s="1"/>
  <c r="AB16" i="46"/>
  <c r="AA16" i="46"/>
  <c r="AE16" i="46" s="1"/>
  <c r="AB12" i="46"/>
  <c r="AA12" i="46"/>
  <c r="AE12" i="46" s="1"/>
  <c r="AJ7" i="46"/>
  <c r="AJ8" i="46" s="1"/>
  <c r="AJ9" i="46" s="1"/>
  <c r="AJ10" i="46" s="1"/>
  <c r="AJ11" i="46" s="1"/>
  <c r="AJ12" i="46" s="1"/>
  <c r="AJ13" i="46" s="1"/>
  <c r="AJ14" i="46" s="1"/>
  <c r="AJ15" i="46" s="1"/>
  <c r="AJ16" i="46" s="1"/>
  <c r="AJ17" i="46" s="1"/>
  <c r="AJ18" i="46" s="1"/>
  <c r="AJ19" i="46" s="1"/>
  <c r="AJ20" i="46" s="1"/>
  <c r="AJ21" i="46" s="1"/>
  <c r="AJ22" i="46" s="1"/>
  <c r="AJ23" i="46" s="1"/>
  <c r="AJ24" i="46" s="1"/>
  <c r="AJ25" i="46" s="1"/>
  <c r="AJ26" i="46" s="1"/>
  <c r="AJ27" i="46" s="1"/>
  <c r="AJ28" i="46" s="1"/>
  <c r="AJ29" i="46" s="1"/>
  <c r="AJ30" i="46" s="1"/>
  <c r="AJ31" i="46" s="1"/>
  <c r="AJ32" i="46" s="1"/>
  <c r="AJ33" i="46" s="1"/>
  <c r="AJ34" i="46" s="1"/>
  <c r="AJ35" i="46" s="1"/>
  <c r="AJ36" i="46" s="1"/>
  <c r="AJ37" i="46" s="1"/>
  <c r="AJ38" i="46" s="1"/>
  <c r="AJ39" i="46" s="1"/>
  <c r="AJ40" i="46" s="1"/>
  <c r="AJ41" i="46" s="1"/>
  <c r="AJ42" i="46" s="1"/>
  <c r="AJ43" i="46" s="1"/>
  <c r="AJ44" i="46" s="1"/>
  <c r="AJ45" i="46" s="1"/>
  <c r="AJ46" i="46" s="1"/>
  <c r="AJ47" i="46" s="1"/>
  <c r="AJ48" i="46" s="1"/>
  <c r="AJ49" i="46" s="1"/>
  <c r="AJ50" i="46" s="1"/>
  <c r="AJ51" i="46" s="1"/>
  <c r="AJ52" i="46" s="1"/>
  <c r="AJ53" i="46" s="1"/>
  <c r="AJ54" i="46" s="1"/>
  <c r="AJ55" i="46" s="1"/>
  <c r="AJ56" i="46" s="1"/>
  <c r="AJ57" i="46" s="1"/>
  <c r="AJ58" i="46" s="1"/>
  <c r="AJ59" i="46" s="1"/>
  <c r="AJ60" i="46" s="1"/>
  <c r="AJ61" i="46" s="1"/>
  <c r="AJ62" i="46" s="1"/>
  <c r="AJ63" i="46" s="1"/>
  <c r="AJ64" i="46" s="1"/>
  <c r="AJ65" i="46" s="1"/>
  <c r="AJ66" i="46" s="1"/>
  <c r="AJ67" i="46" s="1"/>
  <c r="AJ68" i="46" s="1"/>
  <c r="AJ69" i="46" s="1"/>
  <c r="AJ70" i="46" s="1"/>
  <c r="AJ71" i="46" s="1"/>
  <c r="AJ72" i="46" s="1"/>
  <c r="AZ26" i="65" l="1"/>
  <c r="EF25" i="65"/>
  <c r="EG25" i="65" s="1"/>
  <c r="DD26" i="65"/>
  <c r="DE26" i="65" s="1"/>
  <c r="CB25" i="65"/>
  <c r="CC25" i="65" s="1"/>
  <c r="X26" i="65"/>
  <c r="Y26" i="65" s="1"/>
  <c r="AL26" i="64"/>
  <c r="AZ25" i="62"/>
  <c r="X26" i="62"/>
  <c r="CF24" i="61"/>
  <c r="CG24" i="61" s="1"/>
  <c r="BD25" i="61"/>
  <c r="BE25" i="61" s="1"/>
  <c r="X30" i="61"/>
  <c r="Y30" i="61" s="1"/>
  <c r="CB21" i="72"/>
  <c r="X28" i="72"/>
  <c r="AJ12" i="45"/>
  <c r="AJ11" i="53"/>
  <c r="AK11" i="49"/>
  <c r="AL11" i="49"/>
  <c r="AJ12" i="49"/>
  <c r="AJ11" i="48"/>
  <c r="AJ11" i="47"/>
  <c r="AH45" i="46"/>
  <c r="AK70" i="46"/>
  <c r="AK68" i="46"/>
  <c r="AK66" i="46"/>
  <c r="AK64" i="46"/>
  <c r="AK62" i="46"/>
  <c r="AK60" i="46"/>
  <c r="AK58" i="46"/>
  <c r="AK56" i="46"/>
  <c r="AK54" i="46"/>
  <c r="AK52" i="46"/>
  <c r="AK50" i="46"/>
  <c r="AK48" i="46"/>
  <c r="AK46" i="46"/>
  <c r="AK44" i="46"/>
  <c r="AK42" i="46"/>
  <c r="AK40" i="46"/>
  <c r="AK38" i="46"/>
  <c r="AK36" i="46"/>
  <c r="AK34" i="46"/>
  <c r="AK32" i="46"/>
  <c r="AK30" i="46"/>
  <c r="AK28" i="46"/>
  <c r="AK26" i="46"/>
  <c r="AK24" i="46"/>
  <c r="AK22" i="46"/>
  <c r="AK20" i="46"/>
  <c r="AK18" i="46"/>
  <c r="AK16" i="46"/>
  <c r="AK14" i="46"/>
  <c r="AK12" i="46"/>
  <c r="AK10" i="46"/>
  <c r="AK8" i="46"/>
  <c r="AK6" i="46"/>
  <c r="AK71" i="46"/>
  <c r="AK67" i="46"/>
  <c r="AK63" i="46"/>
  <c r="AK59" i="46"/>
  <c r="AK55" i="46"/>
  <c r="AK51" i="46"/>
  <c r="AK47" i="46"/>
  <c r="AK43" i="46"/>
  <c r="AK39" i="46"/>
  <c r="AK35" i="46"/>
  <c r="AK31" i="46"/>
  <c r="AK27" i="46"/>
  <c r="AK23" i="46"/>
  <c r="AK19" i="46"/>
  <c r="AK15" i="46"/>
  <c r="AK11" i="46"/>
  <c r="AK7" i="46"/>
  <c r="AK69" i="46"/>
  <c r="AK65" i="46"/>
  <c r="AK61" i="46"/>
  <c r="AK57" i="46"/>
  <c r="AK53" i="46"/>
  <c r="AK49" i="46"/>
  <c r="AK45" i="46"/>
  <c r="AK41" i="46"/>
  <c r="AK37" i="46"/>
  <c r="AK33" i="46"/>
  <c r="AK29" i="46"/>
  <c r="AK25" i="46"/>
  <c r="AK21" i="46"/>
  <c r="AK17" i="46"/>
  <c r="AK13" i="46"/>
  <c r="AK9" i="46"/>
  <c r="AL7" i="46"/>
  <c r="AL9" i="46"/>
  <c r="AL11" i="46"/>
  <c r="AL13" i="46"/>
  <c r="AL15" i="46"/>
  <c r="AL17" i="46"/>
  <c r="AL19" i="46"/>
  <c r="AL21" i="46"/>
  <c r="AL23" i="46"/>
  <c r="AL25" i="46"/>
  <c r="AL27" i="46"/>
  <c r="AL29" i="46"/>
  <c r="AL31" i="46"/>
  <c r="AL33" i="46"/>
  <c r="AL35" i="46"/>
  <c r="AL37" i="46"/>
  <c r="AL10" i="46"/>
  <c r="AL14" i="46"/>
  <c r="AL18" i="46"/>
  <c r="AL22" i="46"/>
  <c r="AL26" i="46"/>
  <c r="AL30" i="46"/>
  <c r="AL34" i="46"/>
  <c r="AL38" i="46"/>
  <c r="AL40" i="46"/>
  <c r="AL42" i="46"/>
  <c r="AL44" i="46"/>
  <c r="AL46" i="46"/>
  <c r="AL48" i="46"/>
  <c r="AL50" i="46"/>
  <c r="AL52" i="46"/>
  <c r="AL54" i="46"/>
  <c r="AL56" i="46"/>
  <c r="AL58" i="46"/>
  <c r="AL60" i="46"/>
  <c r="AL62" i="46"/>
  <c r="AL64" i="46"/>
  <c r="AL66" i="46"/>
  <c r="AL68" i="46"/>
  <c r="AL70" i="46"/>
  <c r="AL6" i="46"/>
  <c r="AL8" i="46"/>
  <c r="AL12" i="46"/>
  <c r="AL16" i="46"/>
  <c r="AL20" i="46"/>
  <c r="AL24" i="46"/>
  <c r="AL28" i="46"/>
  <c r="AL32" i="46"/>
  <c r="AL36" i="46"/>
  <c r="AL39" i="46"/>
  <c r="AL41" i="46"/>
  <c r="AL45" i="46"/>
  <c r="AL49" i="46"/>
  <c r="AL53" i="46"/>
  <c r="AL57" i="46"/>
  <c r="AL61" i="46"/>
  <c r="AL65" i="46"/>
  <c r="AL69" i="46"/>
  <c r="AL43" i="46"/>
  <c r="AL47" i="46"/>
  <c r="AL51" i="46"/>
  <c r="AL55" i="46"/>
  <c r="AL59" i="46"/>
  <c r="AL63" i="46"/>
  <c r="AL67" i="46"/>
  <c r="AL71" i="46"/>
  <c r="AG16" i="46"/>
  <c r="AM7" i="46"/>
  <c r="AM9" i="46"/>
  <c r="AM11" i="46"/>
  <c r="AM13" i="46"/>
  <c r="AM15" i="46"/>
  <c r="AM17" i="46"/>
  <c r="AM19" i="46"/>
  <c r="AM21" i="46"/>
  <c r="AM23" i="46"/>
  <c r="AM25" i="46"/>
  <c r="AM27" i="46"/>
  <c r="AM29" i="46"/>
  <c r="AM8" i="46"/>
  <c r="AM12" i="46"/>
  <c r="AM16" i="46"/>
  <c r="AM20" i="46"/>
  <c r="AM24" i="46"/>
  <c r="AM28" i="46"/>
  <c r="AM31" i="46"/>
  <c r="AM33" i="46"/>
  <c r="AM35" i="46"/>
  <c r="AM37" i="46"/>
  <c r="AM39" i="46"/>
  <c r="AM41" i="46"/>
  <c r="AM43" i="46"/>
  <c r="AM45" i="46"/>
  <c r="AM47" i="46"/>
  <c r="AM49" i="46"/>
  <c r="AM51" i="46"/>
  <c r="AM53" i="46"/>
  <c r="AM55" i="46"/>
  <c r="AM57" i="46"/>
  <c r="AM59" i="46"/>
  <c r="AM61" i="46"/>
  <c r="AM63" i="46"/>
  <c r="AM65" i="46"/>
  <c r="AM67" i="46"/>
  <c r="AM69" i="46"/>
  <c r="AM71" i="46"/>
  <c r="AM14" i="46"/>
  <c r="AM22" i="46"/>
  <c r="AM30" i="46"/>
  <c r="AM34" i="46"/>
  <c r="AM38" i="46"/>
  <c r="AM42" i="46"/>
  <c r="AM46" i="46"/>
  <c r="AM50" i="46"/>
  <c r="AM54" i="46"/>
  <c r="AM58" i="46"/>
  <c r="AM62" i="46"/>
  <c r="AM66" i="46"/>
  <c r="AM70" i="46"/>
  <c r="AM6" i="46"/>
  <c r="AM10" i="46"/>
  <c r="AM18" i="46"/>
  <c r="AM26" i="46"/>
  <c r="AM32" i="46"/>
  <c r="AM36" i="46"/>
  <c r="AM40" i="46"/>
  <c r="AM44" i="46"/>
  <c r="AM48" i="46"/>
  <c r="AM52" i="46"/>
  <c r="AM56" i="46"/>
  <c r="AM60" i="46"/>
  <c r="AM64" i="46"/>
  <c r="AM68" i="46"/>
  <c r="AM72" i="46"/>
  <c r="AF7" i="46"/>
  <c r="AG34" i="46"/>
  <c r="AO8" i="46"/>
  <c r="AO10" i="46"/>
  <c r="AO12" i="46"/>
  <c r="AO14" i="46"/>
  <c r="AO16" i="46"/>
  <c r="AO18" i="46"/>
  <c r="AO20" i="46"/>
  <c r="AO22" i="46"/>
  <c r="AO24" i="46"/>
  <c r="AO26" i="46"/>
  <c r="AO28" i="46"/>
  <c r="AO30" i="46"/>
  <c r="AO32" i="46"/>
  <c r="AO34" i="46"/>
  <c r="AO36" i="46"/>
  <c r="AO38" i="46"/>
  <c r="AO40" i="46"/>
  <c r="AO42" i="46"/>
  <c r="AO44" i="46"/>
  <c r="AO46" i="46"/>
  <c r="AO48" i="46"/>
  <c r="AO50" i="46"/>
  <c r="AO52" i="46"/>
  <c r="AO54" i="46"/>
  <c r="AO56" i="46"/>
  <c r="AO58" i="46"/>
  <c r="AO60" i="46"/>
  <c r="AO62" i="46"/>
  <c r="AO64" i="46"/>
  <c r="AO66" i="46"/>
  <c r="AO68" i="46"/>
  <c r="AO70" i="46"/>
  <c r="AO72" i="46"/>
  <c r="AO9" i="46"/>
  <c r="AO13" i="46"/>
  <c r="AO17" i="46"/>
  <c r="AO21" i="46"/>
  <c r="AO25" i="46"/>
  <c r="AO29" i="46"/>
  <c r="AO33" i="46"/>
  <c r="AO37" i="46"/>
  <c r="AO41" i="46"/>
  <c r="AO45" i="46"/>
  <c r="AO49" i="46"/>
  <c r="AO53" i="46"/>
  <c r="AO57" i="46"/>
  <c r="AO61" i="46"/>
  <c r="AO65" i="46"/>
  <c r="AO69" i="46"/>
  <c r="AO6" i="46"/>
  <c r="AO7" i="46"/>
  <c r="AO15" i="46"/>
  <c r="AO23" i="46"/>
  <c r="AO31" i="46"/>
  <c r="AO39" i="46"/>
  <c r="AO47" i="46"/>
  <c r="AO55" i="46"/>
  <c r="AO63" i="46"/>
  <c r="AO71" i="46"/>
  <c r="AO11" i="46"/>
  <c r="AO19" i="46"/>
  <c r="AO27" i="46"/>
  <c r="AO35" i="46"/>
  <c r="AO43" i="46"/>
  <c r="AO51" i="46"/>
  <c r="AO59" i="46"/>
  <c r="AO67" i="46"/>
  <c r="AP7" i="46"/>
  <c r="AP9" i="46"/>
  <c r="AP11" i="46"/>
  <c r="AP13" i="46"/>
  <c r="AP15" i="46"/>
  <c r="AP17" i="46"/>
  <c r="AP19" i="46"/>
  <c r="AP21" i="46"/>
  <c r="AP23" i="46"/>
  <c r="AP25" i="46"/>
  <c r="AP27" i="46"/>
  <c r="AP29" i="46"/>
  <c r="AP31" i="46"/>
  <c r="AP33" i="46"/>
  <c r="AP35" i="46"/>
  <c r="AP37" i="46"/>
  <c r="AP39" i="46"/>
  <c r="AP41" i="46"/>
  <c r="AP43" i="46"/>
  <c r="AP45" i="46"/>
  <c r="AP47" i="46"/>
  <c r="AP49" i="46"/>
  <c r="AP51" i="46"/>
  <c r="AP53" i="46"/>
  <c r="AP55" i="46"/>
  <c r="AP57" i="46"/>
  <c r="AP59" i="46"/>
  <c r="AP61" i="46"/>
  <c r="AP63" i="46"/>
  <c r="AP65" i="46"/>
  <c r="AP67" i="46"/>
  <c r="AP69" i="46"/>
  <c r="AP71" i="46"/>
  <c r="AP10" i="46"/>
  <c r="AP14" i="46"/>
  <c r="AP18" i="46"/>
  <c r="AP22" i="46"/>
  <c r="AP26" i="46"/>
  <c r="AP30" i="46"/>
  <c r="AP34" i="46"/>
  <c r="AP38" i="46"/>
  <c r="AP42" i="46"/>
  <c r="AP46" i="46"/>
  <c r="AP50" i="46"/>
  <c r="AP54" i="46"/>
  <c r="AP58" i="46"/>
  <c r="AP62" i="46"/>
  <c r="AP66" i="46"/>
  <c r="AP70" i="46"/>
  <c r="AP8" i="46"/>
  <c r="AP16" i="46"/>
  <c r="AP24" i="46"/>
  <c r="AP32" i="46"/>
  <c r="AP40" i="46"/>
  <c r="AP48" i="46"/>
  <c r="AP56" i="46"/>
  <c r="AP64" i="46"/>
  <c r="AP72" i="46"/>
  <c r="AP12" i="46"/>
  <c r="AP20" i="46"/>
  <c r="AP28" i="46"/>
  <c r="AP36" i="46"/>
  <c r="AP44" i="46"/>
  <c r="AP52" i="46"/>
  <c r="AP60" i="46"/>
  <c r="AP68" i="46"/>
  <c r="AP6" i="46"/>
  <c r="AF71" i="46"/>
  <c r="AN10" i="46"/>
  <c r="AN14" i="46"/>
  <c r="AN18" i="46"/>
  <c r="AN22" i="46"/>
  <c r="AN26" i="46"/>
  <c r="AN30" i="46"/>
  <c r="AN34" i="46"/>
  <c r="AN38" i="46"/>
  <c r="AN42" i="46"/>
  <c r="AN46" i="46"/>
  <c r="AN50" i="46"/>
  <c r="AN54" i="46"/>
  <c r="AN58" i="46"/>
  <c r="AN62" i="46"/>
  <c r="AN66" i="46"/>
  <c r="AN70" i="46"/>
  <c r="AN7" i="46"/>
  <c r="AN11" i="46"/>
  <c r="AN15" i="46"/>
  <c r="AN19" i="46"/>
  <c r="AN23" i="46"/>
  <c r="AN27" i="46"/>
  <c r="AN31" i="46"/>
  <c r="AN35" i="46"/>
  <c r="AN39" i="46"/>
  <c r="AN43" i="46"/>
  <c r="AN47" i="46"/>
  <c r="AN51" i="46"/>
  <c r="AN55" i="46"/>
  <c r="AN59" i="46"/>
  <c r="AN63" i="46"/>
  <c r="AN67" i="46"/>
  <c r="AN71" i="46"/>
  <c r="AN6" i="46"/>
  <c r="AN8" i="46"/>
  <c r="AN12" i="46"/>
  <c r="AN16" i="46"/>
  <c r="AN20" i="46"/>
  <c r="AN24" i="46"/>
  <c r="AN28" i="46"/>
  <c r="AN32" i="46"/>
  <c r="AN36" i="46"/>
  <c r="AN40" i="46"/>
  <c r="AN44" i="46"/>
  <c r="AN48" i="46"/>
  <c r="AN52" i="46"/>
  <c r="AN56" i="46"/>
  <c r="AN60" i="46"/>
  <c r="AN64" i="46"/>
  <c r="AN68" i="46"/>
  <c r="AN72" i="46"/>
  <c r="AN9" i="46"/>
  <c r="AN13" i="46"/>
  <c r="AN17" i="46"/>
  <c r="AN21" i="46"/>
  <c r="AN25" i="46"/>
  <c r="AN29" i="46"/>
  <c r="AN33" i="46"/>
  <c r="AN37" i="46"/>
  <c r="AN41" i="46"/>
  <c r="AN45" i="46"/>
  <c r="AN49" i="46"/>
  <c r="AN53" i="46"/>
  <c r="AN57" i="46"/>
  <c r="AN61" i="46"/>
  <c r="AN65" i="46"/>
  <c r="AN69" i="46"/>
  <c r="AJ73" i="46"/>
  <c r="AM73" i="46" s="1"/>
  <c r="AL72" i="46"/>
  <c r="AK72" i="46"/>
  <c r="AF96" i="46"/>
  <c r="AH96" i="46"/>
  <c r="AF91" i="46"/>
  <c r="AH91" i="46"/>
  <c r="AG91" i="46"/>
  <c r="AH77" i="46"/>
  <c r="AF77" i="46"/>
  <c r="AH66" i="46"/>
  <c r="AF66" i="46"/>
  <c r="AH64" i="46"/>
  <c r="AG64" i="46"/>
  <c r="AH56" i="46"/>
  <c r="AF56" i="46"/>
  <c r="AF39" i="46"/>
  <c r="AG39" i="46"/>
  <c r="AH37" i="46"/>
  <c r="AF37" i="46"/>
  <c r="AG37" i="46"/>
  <c r="AH34" i="46"/>
  <c r="AF34" i="46"/>
  <c r="AF27" i="46"/>
  <c r="AH27" i="46"/>
  <c r="AG27" i="46"/>
  <c r="AH12" i="46"/>
  <c r="AG12" i="46"/>
  <c r="AF12" i="46"/>
  <c r="AH16" i="46"/>
  <c r="AF16" i="46"/>
  <c r="F30" i="53"/>
  <c r="F19" i="49"/>
  <c r="F13" i="48"/>
  <c r="F16" i="47"/>
  <c r="F17" i="47"/>
  <c r="F85" i="46"/>
  <c r="F50" i="45"/>
  <c r="AZ27" i="65" l="1"/>
  <c r="EF26" i="65"/>
  <c r="EG26" i="65" s="1"/>
  <c r="DD27" i="65"/>
  <c r="DE27" i="65" s="1"/>
  <c r="CB26" i="65"/>
  <c r="CC26" i="65" s="1"/>
  <c r="X27" i="65"/>
  <c r="Y27" i="65" s="1"/>
  <c r="AL27" i="64"/>
  <c r="AZ26" i="62"/>
  <c r="X27" i="62"/>
  <c r="CF25" i="61"/>
  <c r="CG25" i="61" s="1"/>
  <c r="BD26" i="61"/>
  <c r="BE26" i="61" s="1"/>
  <c r="X31" i="61"/>
  <c r="Y31" i="61" s="1"/>
  <c r="CB22" i="72"/>
  <c r="X29" i="72"/>
  <c r="Y28" i="72"/>
  <c r="AJ13" i="45"/>
  <c r="AJ12" i="53"/>
  <c r="AL12" i="49"/>
  <c r="AK12" i="49"/>
  <c r="AJ13" i="49"/>
  <c r="AJ12" i="48"/>
  <c r="R14" i="47"/>
  <c r="AJ12" i="47"/>
  <c r="AO73" i="46"/>
  <c r="AN73" i="46"/>
  <c r="AP73" i="46"/>
  <c r="AJ74" i="46"/>
  <c r="AK73" i="46"/>
  <c r="AL73" i="46"/>
  <c r="P7" i="58"/>
  <c r="O7" i="58"/>
  <c r="N7" i="58"/>
  <c r="M7" i="58"/>
  <c r="E8" i="58"/>
  <c r="B7" i="58"/>
  <c r="B6" i="58"/>
  <c r="G7" i="58"/>
  <c r="F7" i="58"/>
  <c r="T8" i="53"/>
  <c r="T9" i="53"/>
  <c r="T11" i="53"/>
  <c r="T13" i="53"/>
  <c r="T14" i="53"/>
  <c r="T16" i="53"/>
  <c r="T18" i="53"/>
  <c r="T22" i="53"/>
  <c r="T23" i="53"/>
  <c r="T25" i="53"/>
  <c r="T26" i="53"/>
  <c r="T28" i="53"/>
  <c r="T30" i="53"/>
  <c r="T32" i="53"/>
  <c r="T34" i="53"/>
  <c r="T36" i="53"/>
  <c r="T37" i="53"/>
  <c r="T38" i="53"/>
  <c r="T40" i="53"/>
  <c r="T42" i="53"/>
  <c r="T44" i="53"/>
  <c r="T46" i="53"/>
  <c r="T48" i="53"/>
  <c r="T49" i="53"/>
  <c r="T6" i="53"/>
  <c r="W48" i="53"/>
  <c r="W14" i="53"/>
  <c r="W26" i="53"/>
  <c r="W20" i="53"/>
  <c r="W44" i="53"/>
  <c r="W34" i="53"/>
  <c r="W6" i="53"/>
  <c r="W22" i="53"/>
  <c r="W16" i="53"/>
  <c r="B27" i="53"/>
  <c r="B7" i="53"/>
  <c r="B8" i="53"/>
  <c r="B9" i="53"/>
  <c r="B10" i="53"/>
  <c r="B11" i="53"/>
  <c r="B12" i="53"/>
  <c r="B13" i="53"/>
  <c r="B14" i="53"/>
  <c r="B15" i="53"/>
  <c r="B16" i="53"/>
  <c r="B17" i="53"/>
  <c r="B18" i="53"/>
  <c r="B19" i="53"/>
  <c r="B20" i="53"/>
  <c r="B21" i="53"/>
  <c r="B22" i="53"/>
  <c r="B23" i="53"/>
  <c r="B24" i="53"/>
  <c r="B25" i="53"/>
  <c r="B26" i="53"/>
  <c r="B6" i="53"/>
  <c r="F26" i="53"/>
  <c r="F25" i="53"/>
  <c r="F18" i="53"/>
  <c r="F15" i="53"/>
  <c r="F7" i="53"/>
  <c r="T8" i="49"/>
  <c r="T10" i="49"/>
  <c r="T12" i="49"/>
  <c r="T14" i="49"/>
  <c r="T16" i="49"/>
  <c r="T17" i="49"/>
  <c r="T19" i="49"/>
  <c r="T20" i="49"/>
  <c r="T21" i="49"/>
  <c r="T23" i="49"/>
  <c r="T6" i="49"/>
  <c r="B7" i="49"/>
  <c r="B8" i="49"/>
  <c r="B9" i="49"/>
  <c r="B10" i="49"/>
  <c r="B11" i="49"/>
  <c r="B12" i="49"/>
  <c r="B13" i="49"/>
  <c r="B14" i="49"/>
  <c r="B15" i="49"/>
  <c r="B16" i="49"/>
  <c r="B6" i="49"/>
  <c r="W9" i="49"/>
  <c r="AC8" i="49" s="1"/>
  <c r="AD8" i="49" s="1"/>
  <c r="W7" i="49"/>
  <c r="AC6" i="49" s="1"/>
  <c r="AD6" i="49" s="1"/>
  <c r="W24" i="49"/>
  <c r="AC23" i="49" s="1"/>
  <c r="AD23" i="49" s="1"/>
  <c r="W20" i="49"/>
  <c r="F12" i="49"/>
  <c r="F18" i="49" s="1"/>
  <c r="R16" i="49" s="1"/>
  <c r="G46" i="23"/>
  <c r="T7" i="48"/>
  <c r="T9" i="48"/>
  <c r="T11" i="48"/>
  <c r="T13" i="48"/>
  <c r="T15" i="48"/>
  <c r="T6" i="48"/>
  <c r="B7" i="48"/>
  <c r="B8" i="48"/>
  <c r="B9" i="48"/>
  <c r="B10" i="48"/>
  <c r="B6" i="48"/>
  <c r="F17" i="49"/>
  <c r="L7" i="49" s="1"/>
  <c r="M7" i="49" s="1"/>
  <c r="AE15" i="48"/>
  <c r="W16" i="48"/>
  <c r="W11" i="48"/>
  <c r="G10" i="48"/>
  <c r="N10" i="48" s="1"/>
  <c r="F11" i="48"/>
  <c r="L8" i="48" s="1"/>
  <c r="M8" i="48" s="1"/>
  <c r="F10" i="48"/>
  <c r="F12" i="48" s="1"/>
  <c r="R10" i="48" s="1"/>
  <c r="T8" i="47"/>
  <c r="T9" i="47"/>
  <c r="T11" i="47"/>
  <c r="T12" i="47"/>
  <c r="T13" i="47"/>
  <c r="T6" i="47"/>
  <c r="T19" i="47"/>
  <c r="T17" i="47"/>
  <c r="T15" i="47"/>
  <c r="B7" i="47"/>
  <c r="B8" i="47"/>
  <c r="B9" i="47"/>
  <c r="B10" i="47"/>
  <c r="B11" i="47"/>
  <c r="B12" i="47"/>
  <c r="B13" i="47"/>
  <c r="B14" i="47"/>
  <c r="B6" i="47"/>
  <c r="T98" i="46"/>
  <c r="T99" i="46"/>
  <c r="T100" i="46"/>
  <c r="T101" i="46"/>
  <c r="T102" i="46"/>
  <c r="T104" i="46"/>
  <c r="T96" i="46"/>
  <c r="T93" i="46"/>
  <c r="T94" i="46"/>
  <c r="T91" i="46"/>
  <c r="T75" i="46"/>
  <c r="T76" i="46"/>
  <c r="T77" i="46"/>
  <c r="T79" i="46"/>
  <c r="T80" i="46"/>
  <c r="T81" i="46"/>
  <c r="T82" i="46"/>
  <c r="T83" i="46"/>
  <c r="T84" i="46"/>
  <c r="T85" i="46"/>
  <c r="T87" i="46"/>
  <c r="T88" i="46"/>
  <c r="T89" i="46"/>
  <c r="T73" i="46"/>
  <c r="T44" i="46"/>
  <c r="T45" i="46"/>
  <c r="T47" i="46"/>
  <c r="T48" i="46"/>
  <c r="T49" i="46"/>
  <c r="T50" i="46"/>
  <c r="T51" i="46"/>
  <c r="T53" i="46"/>
  <c r="T54" i="46"/>
  <c r="T55" i="46"/>
  <c r="T56" i="46"/>
  <c r="T58" i="46"/>
  <c r="T59" i="46"/>
  <c r="T60" i="46"/>
  <c r="T61" i="46"/>
  <c r="T62" i="46"/>
  <c r="T63" i="46"/>
  <c r="T64" i="46"/>
  <c r="T66" i="46"/>
  <c r="T68" i="46"/>
  <c r="T69" i="46"/>
  <c r="T70" i="46"/>
  <c r="T71" i="46"/>
  <c r="T43" i="46"/>
  <c r="T41" i="46"/>
  <c r="T39" i="46"/>
  <c r="H14" i="47"/>
  <c r="G14" i="47"/>
  <c r="N14" i="47" s="1"/>
  <c r="F15" i="47"/>
  <c r="L8" i="47" s="1"/>
  <c r="AZ28" i="65" l="1"/>
  <c r="EF27" i="65"/>
  <c r="EG27" i="65" s="1"/>
  <c r="DD28" i="65"/>
  <c r="DE28" i="65" s="1"/>
  <c r="CB27" i="65"/>
  <c r="CC27" i="65" s="1"/>
  <c r="X28" i="65"/>
  <c r="Y28" i="65" s="1"/>
  <c r="AL28" i="64"/>
  <c r="AZ27" i="62"/>
  <c r="X28" i="62"/>
  <c r="CF26" i="61"/>
  <c r="CG26" i="61" s="1"/>
  <c r="BD27" i="61"/>
  <c r="BE27" i="61" s="1"/>
  <c r="X32" i="61"/>
  <c r="Y32" i="61" s="1"/>
  <c r="CB23" i="72"/>
  <c r="X30" i="72"/>
  <c r="Y29" i="72"/>
  <c r="AJ14" i="45"/>
  <c r="F28" i="53"/>
  <c r="L25" i="53" s="1"/>
  <c r="M25" i="53" s="1"/>
  <c r="X23" i="53"/>
  <c r="Y23" i="53"/>
  <c r="W24" i="53"/>
  <c r="X34" i="53"/>
  <c r="W35" i="53"/>
  <c r="Y34" i="53"/>
  <c r="X20" i="53"/>
  <c r="W21" i="53"/>
  <c r="Y20" i="53"/>
  <c r="X14" i="53"/>
  <c r="Y14" i="53"/>
  <c r="W15" i="53"/>
  <c r="F29" i="53"/>
  <c r="R27" i="53" s="1"/>
  <c r="L7" i="53"/>
  <c r="M7" i="53" s="1"/>
  <c r="X16" i="53"/>
  <c r="W17" i="53"/>
  <c r="Y16" i="53"/>
  <c r="W7" i="53"/>
  <c r="X6" i="53"/>
  <c r="Y6" i="53"/>
  <c r="Y44" i="53"/>
  <c r="W45" i="53"/>
  <c r="X44" i="53"/>
  <c r="AB44" i="53" s="1"/>
  <c r="X26" i="53"/>
  <c r="W27" i="53"/>
  <c r="Y26" i="53"/>
  <c r="X49" i="53"/>
  <c r="W50" i="53"/>
  <c r="Y49" i="53"/>
  <c r="AJ13" i="53"/>
  <c r="AL13" i="49"/>
  <c r="AK13" i="49"/>
  <c r="L6" i="49"/>
  <c r="M6" i="49" s="1"/>
  <c r="L14" i="49"/>
  <c r="M14" i="49" s="1"/>
  <c r="L12" i="49"/>
  <c r="M12" i="49" s="1"/>
  <c r="L10" i="49"/>
  <c r="M10" i="49" s="1"/>
  <c r="L8" i="49"/>
  <c r="M8" i="49" s="1"/>
  <c r="Y21" i="49"/>
  <c r="X21" i="49"/>
  <c r="L16" i="49"/>
  <c r="M16" i="49" s="1"/>
  <c r="L15" i="49"/>
  <c r="M15" i="49" s="1"/>
  <c r="L13" i="49"/>
  <c r="M13" i="49" s="1"/>
  <c r="L11" i="49"/>
  <c r="M11" i="49" s="1"/>
  <c r="L9" i="49"/>
  <c r="M9" i="49" s="1"/>
  <c r="AJ14" i="49"/>
  <c r="P10" i="48"/>
  <c r="Q10" i="48"/>
  <c r="O10" i="48"/>
  <c r="L9" i="48"/>
  <c r="L7" i="48"/>
  <c r="L10" i="48"/>
  <c r="M7" i="48"/>
  <c r="L6" i="48"/>
  <c r="M6" i="48" s="1"/>
  <c r="H10" i="48"/>
  <c r="I10" i="48" s="1"/>
  <c r="Y11" i="48"/>
  <c r="AI11" i="48" s="1"/>
  <c r="X11" i="48"/>
  <c r="AE11" i="48" s="1"/>
  <c r="W12" i="48"/>
  <c r="AG11" i="48"/>
  <c r="AH11" i="48"/>
  <c r="AF11" i="48"/>
  <c r="AH15" i="48"/>
  <c r="AF15" i="48"/>
  <c r="AG15" i="48"/>
  <c r="AA15" i="48"/>
  <c r="AJ13" i="48"/>
  <c r="I14" i="47"/>
  <c r="J14" i="47" s="1"/>
  <c r="AC19" i="47"/>
  <c r="AD19" i="47" s="1"/>
  <c r="AB17" i="47"/>
  <c r="AD17" i="47"/>
  <c r="AB15" i="47"/>
  <c r="AA15" i="47"/>
  <c r="AE15" i="47" s="1"/>
  <c r="AD15" i="47"/>
  <c r="P14" i="47"/>
  <c r="Q14" i="47"/>
  <c r="O14" i="47"/>
  <c r="L6" i="47"/>
  <c r="M6" i="47" s="1"/>
  <c r="L13" i="47"/>
  <c r="M13" i="47" s="1"/>
  <c r="L11" i="47"/>
  <c r="L9" i="47"/>
  <c r="M9" i="47" s="1"/>
  <c r="L7" i="47"/>
  <c r="M7" i="47" s="1"/>
  <c r="AA13" i="47"/>
  <c r="AE13" i="47" s="1"/>
  <c r="L14" i="47"/>
  <c r="L12" i="47"/>
  <c r="M12" i="47" s="1"/>
  <c r="L10" i="47"/>
  <c r="AJ13" i="47"/>
  <c r="AO74" i="46"/>
  <c r="AP74" i="46"/>
  <c r="AN74" i="46"/>
  <c r="AM74" i="46"/>
  <c r="AJ75" i="46"/>
  <c r="AL74" i="46"/>
  <c r="AK74" i="46"/>
  <c r="AA19" i="47"/>
  <c r="AE19" i="47" s="1"/>
  <c r="K7" i="58"/>
  <c r="L7" i="58" s="1"/>
  <c r="H7" i="58"/>
  <c r="I7" i="58" s="1"/>
  <c r="J7" i="58"/>
  <c r="M9" i="48"/>
  <c r="AC15" i="48"/>
  <c r="AD15" i="48" s="1"/>
  <c r="AB15" i="48"/>
  <c r="M10" i="48"/>
  <c r="AB19" i="47"/>
  <c r="AC13" i="47"/>
  <c r="AD13" i="47" s="1"/>
  <c r="AB13" i="47"/>
  <c r="M11" i="47"/>
  <c r="M10" i="47"/>
  <c r="M8" i="47"/>
  <c r="K14" i="47"/>
  <c r="AG12" i="43"/>
  <c r="AF12" i="43"/>
  <c r="AE12" i="43"/>
  <c r="AD12" i="43"/>
  <c r="AG10" i="43"/>
  <c r="AF10" i="43"/>
  <c r="AE10" i="43"/>
  <c r="AD10" i="43"/>
  <c r="AG7" i="43"/>
  <c r="AF7" i="43"/>
  <c r="AE7" i="43"/>
  <c r="AD7" i="43"/>
  <c r="Y12" i="43"/>
  <c r="Y10" i="43"/>
  <c r="Y7" i="43"/>
  <c r="N10" i="43"/>
  <c r="Q10" i="43" s="1"/>
  <c r="I10" i="43"/>
  <c r="W35" i="27"/>
  <c r="W104" i="46"/>
  <c r="W102" i="46"/>
  <c r="W94" i="46"/>
  <c r="W87" i="46"/>
  <c r="W85" i="46"/>
  <c r="T18" i="46"/>
  <c r="T19" i="46"/>
  <c r="T20" i="46"/>
  <c r="T21" i="46"/>
  <c r="T22" i="46"/>
  <c r="T23" i="46"/>
  <c r="T24" i="46"/>
  <c r="T25" i="46"/>
  <c r="T26" i="46"/>
  <c r="T27" i="46"/>
  <c r="T29" i="46"/>
  <c r="T30" i="46"/>
  <c r="T31" i="46"/>
  <c r="T32" i="46"/>
  <c r="T33" i="46"/>
  <c r="T34" i="46"/>
  <c r="T36" i="46"/>
  <c r="T37" i="46"/>
  <c r="W49" i="46"/>
  <c r="T7" i="46"/>
  <c r="T9" i="46"/>
  <c r="T10" i="46"/>
  <c r="T11" i="46"/>
  <c r="T12" i="46"/>
  <c r="T14" i="46"/>
  <c r="T15" i="46"/>
  <c r="T16" i="46"/>
  <c r="T6" i="46"/>
  <c r="B7" i="46"/>
  <c r="B8" i="46"/>
  <c r="B9" i="46"/>
  <c r="B10" i="46"/>
  <c r="B11" i="46"/>
  <c r="B12" i="46"/>
  <c r="B13" i="46"/>
  <c r="B14" i="46"/>
  <c r="B15" i="46"/>
  <c r="B16" i="46"/>
  <c r="B17" i="46"/>
  <c r="B18" i="46"/>
  <c r="B19" i="46"/>
  <c r="B20" i="46"/>
  <c r="B21" i="46"/>
  <c r="B22" i="46"/>
  <c r="B23" i="46"/>
  <c r="B24" i="46"/>
  <c r="B25" i="46"/>
  <c r="B26" i="46"/>
  <c r="B27" i="46"/>
  <c r="B28" i="46"/>
  <c r="B29" i="46"/>
  <c r="B30" i="46"/>
  <c r="B31" i="46"/>
  <c r="B32" i="46"/>
  <c r="B33" i="46"/>
  <c r="B34" i="46"/>
  <c r="B35" i="46"/>
  <c r="B36" i="46"/>
  <c r="B37" i="46"/>
  <c r="B38" i="46"/>
  <c r="B39" i="46"/>
  <c r="B40" i="46"/>
  <c r="B41" i="46"/>
  <c r="B42" i="46"/>
  <c r="B43" i="46"/>
  <c r="B44" i="46"/>
  <c r="B45" i="46"/>
  <c r="B46" i="46"/>
  <c r="B47" i="46"/>
  <c r="B48" i="46"/>
  <c r="B49" i="46"/>
  <c r="B50" i="46"/>
  <c r="B51" i="46"/>
  <c r="B52" i="46"/>
  <c r="B53" i="46"/>
  <c r="B54" i="46"/>
  <c r="B55" i="46"/>
  <c r="B56" i="46"/>
  <c r="B57" i="46"/>
  <c r="B58" i="46"/>
  <c r="B59" i="46"/>
  <c r="B60" i="46"/>
  <c r="B61" i="46"/>
  <c r="B62" i="46"/>
  <c r="B63" i="46"/>
  <c r="B64" i="46"/>
  <c r="B65" i="46"/>
  <c r="B66" i="46"/>
  <c r="B67" i="46"/>
  <c r="B68" i="46"/>
  <c r="B69" i="46"/>
  <c r="B70" i="46"/>
  <c r="B71" i="46"/>
  <c r="B72" i="46"/>
  <c r="B73" i="46"/>
  <c r="B74" i="46"/>
  <c r="B75" i="46"/>
  <c r="B76" i="46"/>
  <c r="B77" i="46"/>
  <c r="B78" i="46"/>
  <c r="B79" i="46"/>
  <c r="B80" i="46"/>
  <c r="B81" i="46"/>
  <c r="B82" i="46"/>
  <c r="B6" i="46"/>
  <c r="AZ29" i="65" l="1"/>
  <c r="EF28" i="65"/>
  <c r="EG28" i="65" s="1"/>
  <c r="DD29" i="65"/>
  <c r="DE29" i="65" s="1"/>
  <c r="CB28" i="65"/>
  <c r="CC28" i="65" s="1"/>
  <c r="X29" i="65"/>
  <c r="Y29" i="65" s="1"/>
  <c r="AL29" i="64"/>
  <c r="AZ28" i="62"/>
  <c r="X29" i="62"/>
  <c r="CF27" i="61"/>
  <c r="CG27" i="61" s="1"/>
  <c r="BD28" i="61"/>
  <c r="BE28" i="61" s="1"/>
  <c r="X33" i="61"/>
  <c r="Y33" i="61" s="1"/>
  <c r="CB24" i="72"/>
  <c r="X31" i="72"/>
  <c r="Y30" i="72"/>
  <c r="AJ15" i="45"/>
  <c r="AP7" i="47"/>
  <c r="AP21" i="47"/>
  <c r="AP29" i="47"/>
  <c r="AP33" i="47"/>
  <c r="AP39" i="47"/>
  <c r="AP43" i="47"/>
  <c r="AP49" i="47"/>
  <c r="AP53" i="47"/>
  <c r="AP59" i="47"/>
  <c r="AP63" i="47"/>
  <c r="AP69" i="47"/>
  <c r="AP73" i="47"/>
  <c r="AP77" i="47"/>
  <c r="AP8" i="47"/>
  <c r="AP10" i="47"/>
  <c r="AP12" i="47"/>
  <c r="AP14" i="47"/>
  <c r="AP16" i="47"/>
  <c r="AP18" i="47"/>
  <c r="AP20" i="47"/>
  <c r="AP22" i="47"/>
  <c r="AP24" i="47"/>
  <c r="AP26" i="47"/>
  <c r="AP28" i="47"/>
  <c r="AP30" i="47"/>
  <c r="AP32" i="47"/>
  <c r="AP34" i="47"/>
  <c r="AP36" i="47"/>
  <c r="AP38" i="47"/>
  <c r="AP40" i="47"/>
  <c r="AP42" i="47"/>
  <c r="AP44" i="47"/>
  <c r="AP46" i="47"/>
  <c r="AP48" i="47"/>
  <c r="AP50" i="47"/>
  <c r="AP52" i="47"/>
  <c r="AP54" i="47"/>
  <c r="AP56" i="47"/>
  <c r="AP58" i="47"/>
  <c r="AP60" i="47"/>
  <c r="AP62" i="47"/>
  <c r="AP64" i="47"/>
  <c r="AP66" i="47"/>
  <c r="AP68" i="47"/>
  <c r="AP70" i="47"/>
  <c r="AP72" i="47"/>
  <c r="AP74" i="47"/>
  <c r="AP76" i="47"/>
  <c r="AP78" i="47"/>
  <c r="AP9" i="47"/>
  <c r="AP11" i="47"/>
  <c r="AP13" i="47"/>
  <c r="AP15" i="47"/>
  <c r="AP17" i="47"/>
  <c r="AP19" i="47"/>
  <c r="AP23" i="47"/>
  <c r="AP25" i="47"/>
  <c r="AP27" i="47"/>
  <c r="AP31" i="47"/>
  <c r="AP35" i="47"/>
  <c r="AP37" i="47"/>
  <c r="AP41" i="47"/>
  <c r="AP45" i="47"/>
  <c r="AP47" i="47"/>
  <c r="AP51" i="47"/>
  <c r="AP55" i="47"/>
  <c r="AP57" i="47"/>
  <c r="AP61" i="47"/>
  <c r="AP65" i="47"/>
  <c r="AP67" i="47"/>
  <c r="AP71" i="47"/>
  <c r="AP75" i="47"/>
  <c r="AP79" i="47"/>
  <c r="AP6" i="47"/>
  <c r="AH19" i="47"/>
  <c r="AG19" i="47"/>
  <c r="AF19" i="47"/>
  <c r="AN7" i="47"/>
  <c r="AN9" i="47"/>
  <c r="AN11" i="47"/>
  <c r="AN13" i="47"/>
  <c r="AN15" i="47"/>
  <c r="AN17" i="47"/>
  <c r="AN19" i="47"/>
  <c r="AN21" i="47"/>
  <c r="AN23" i="47"/>
  <c r="AN25" i="47"/>
  <c r="AN27" i="47"/>
  <c r="AN29" i="47"/>
  <c r="AN31" i="47"/>
  <c r="AN33" i="47"/>
  <c r="AN35" i="47"/>
  <c r="AN37" i="47"/>
  <c r="AN39" i="47"/>
  <c r="AN41" i="47"/>
  <c r="AN43" i="47"/>
  <c r="AN45" i="47"/>
  <c r="AN47" i="47"/>
  <c r="AN49" i="47"/>
  <c r="AN51" i="47"/>
  <c r="AN53" i="47"/>
  <c r="AN55" i="47"/>
  <c r="AN57" i="47"/>
  <c r="AN59" i="47"/>
  <c r="AN61" i="47"/>
  <c r="AN63" i="47"/>
  <c r="AN65" i="47"/>
  <c r="AN67" i="47"/>
  <c r="AN69" i="47"/>
  <c r="AN71" i="47"/>
  <c r="AN73" i="47"/>
  <c r="AN75" i="47"/>
  <c r="AN77" i="47"/>
  <c r="AN79" i="47"/>
  <c r="AN6" i="47"/>
  <c r="AN8" i="47"/>
  <c r="AN10" i="47"/>
  <c r="AN12" i="47"/>
  <c r="AN14" i="47"/>
  <c r="AN16" i="47"/>
  <c r="AN18" i="47"/>
  <c r="AN20" i="47"/>
  <c r="AN22" i="47"/>
  <c r="AN24" i="47"/>
  <c r="AN26" i="47"/>
  <c r="AN28" i="47"/>
  <c r="AN30" i="47"/>
  <c r="AN32" i="47"/>
  <c r="AN34" i="47"/>
  <c r="AN36" i="47"/>
  <c r="AN38" i="47"/>
  <c r="AN40" i="47"/>
  <c r="AN42" i="47"/>
  <c r="AN44" i="47"/>
  <c r="AN46" i="47"/>
  <c r="AN48" i="47"/>
  <c r="AN50" i="47"/>
  <c r="AN52" i="47"/>
  <c r="AN54" i="47"/>
  <c r="AN56" i="47"/>
  <c r="AN58" i="47"/>
  <c r="AN60" i="47"/>
  <c r="AN62" i="47"/>
  <c r="AN64" i="47"/>
  <c r="AN66" i="47"/>
  <c r="AN68" i="47"/>
  <c r="AN70" i="47"/>
  <c r="AN72" i="47"/>
  <c r="AN74" i="47"/>
  <c r="AN76" i="47"/>
  <c r="AN78" i="47"/>
  <c r="AG15" i="47"/>
  <c r="AF15" i="47"/>
  <c r="AH15" i="47"/>
  <c r="AM7" i="47"/>
  <c r="AM9" i="47"/>
  <c r="AM11" i="47"/>
  <c r="AM13" i="47"/>
  <c r="AM15" i="47"/>
  <c r="AM17" i="47"/>
  <c r="AM19" i="47"/>
  <c r="AM21" i="47"/>
  <c r="AM23" i="47"/>
  <c r="AM25" i="47"/>
  <c r="AM27" i="47"/>
  <c r="AM29" i="47"/>
  <c r="AM31" i="47"/>
  <c r="AM33" i="47"/>
  <c r="AM35" i="47"/>
  <c r="AM37" i="47"/>
  <c r="AM39" i="47"/>
  <c r="AM41" i="47"/>
  <c r="AM43" i="47"/>
  <c r="AM45" i="47"/>
  <c r="AM47" i="47"/>
  <c r="AM49" i="47"/>
  <c r="AM51" i="47"/>
  <c r="AM53" i="47"/>
  <c r="AM55" i="47"/>
  <c r="AM57" i="47"/>
  <c r="AM59" i="47"/>
  <c r="AM61" i="47"/>
  <c r="AM63" i="47"/>
  <c r="AM65" i="47"/>
  <c r="AM67" i="47"/>
  <c r="AM69" i="47"/>
  <c r="AM71" i="47"/>
  <c r="AM73" i="47"/>
  <c r="AM75" i="47"/>
  <c r="AM77" i="47"/>
  <c r="AM79" i="47"/>
  <c r="AM6" i="47"/>
  <c r="AM8" i="47"/>
  <c r="AM10" i="47"/>
  <c r="AM12" i="47"/>
  <c r="AM14" i="47"/>
  <c r="AM16" i="47"/>
  <c r="AM18" i="47"/>
  <c r="AM20" i="47"/>
  <c r="AM22" i="47"/>
  <c r="AM24" i="47"/>
  <c r="AM26" i="47"/>
  <c r="AM28" i="47"/>
  <c r="AM30" i="47"/>
  <c r="AM32" i="47"/>
  <c r="AM34" i="47"/>
  <c r="AM36" i="47"/>
  <c r="AM38" i="47"/>
  <c r="AM40" i="47"/>
  <c r="AM42" i="47"/>
  <c r="AM44" i="47"/>
  <c r="AM46" i="47"/>
  <c r="AM48" i="47"/>
  <c r="AM50" i="47"/>
  <c r="AM52" i="47"/>
  <c r="AM54" i="47"/>
  <c r="AM56" i="47"/>
  <c r="AM58" i="47"/>
  <c r="AM60" i="47"/>
  <c r="AM62" i="47"/>
  <c r="AM64" i="47"/>
  <c r="AM66" i="47"/>
  <c r="AM68" i="47"/>
  <c r="AM70" i="47"/>
  <c r="AM72" i="47"/>
  <c r="AM74" i="47"/>
  <c r="AM76" i="47"/>
  <c r="AM78" i="47"/>
  <c r="AG13" i="47"/>
  <c r="AF13" i="47"/>
  <c r="AH13" i="47"/>
  <c r="AB23" i="53"/>
  <c r="AI49" i="53"/>
  <c r="AB49" i="53"/>
  <c r="AA49" i="53"/>
  <c r="AE49" i="53" s="1"/>
  <c r="AC49" i="53"/>
  <c r="AD49" i="53" s="1"/>
  <c r="AI44" i="53"/>
  <c r="AC44" i="53"/>
  <c r="AD44" i="53" s="1"/>
  <c r="AA44" i="53"/>
  <c r="AE44" i="53" s="1"/>
  <c r="AI16" i="53"/>
  <c r="AB16" i="53"/>
  <c r="AA16" i="53"/>
  <c r="AE16" i="53" s="1"/>
  <c r="AC16" i="53"/>
  <c r="AD16" i="53" s="1"/>
  <c r="AI14" i="53"/>
  <c r="AA14" i="53"/>
  <c r="AE14" i="53" s="1"/>
  <c r="AC14" i="53"/>
  <c r="AD14" i="53" s="1"/>
  <c r="AB14" i="53"/>
  <c r="AI20" i="53"/>
  <c r="AB20" i="53"/>
  <c r="AA20" i="53"/>
  <c r="AE20" i="53" s="1"/>
  <c r="AC20" i="53"/>
  <c r="AD20" i="53" s="1"/>
  <c r="AI26" i="53"/>
  <c r="AA26" i="53"/>
  <c r="AE26" i="53" s="1"/>
  <c r="AC26" i="53"/>
  <c r="AD26" i="53" s="1"/>
  <c r="AB26" i="53"/>
  <c r="AI6" i="53"/>
  <c r="AC6" i="53"/>
  <c r="AD6" i="53" s="1"/>
  <c r="AA6" i="53"/>
  <c r="AE6" i="53" s="1"/>
  <c r="AB6" i="53"/>
  <c r="AI34" i="53"/>
  <c r="AA34" i="53"/>
  <c r="AE34" i="53" s="1"/>
  <c r="AC34" i="53"/>
  <c r="AD34" i="53" s="1"/>
  <c r="AB34" i="53"/>
  <c r="AI23" i="53"/>
  <c r="AC23" i="53"/>
  <c r="AD23" i="53" s="1"/>
  <c r="AA23" i="53"/>
  <c r="AE23" i="53" s="1"/>
  <c r="L9" i="53"/>
  <c r="M9" i="53" s="1"/>
  <c r="L11" i="53"/>
  <c r="M11" i="53" s="1"/>
  <c r="L13" i="53"/>
  <c r="M13" i="53" s="1"/>
  <c r="L17" i="53"/>
  <c r="M17" i="53" s="1"/>
  <c r="L19" i="53"/>
  <c r="M19" i="53" s="1"/>
  <c r="L21" i="53"/>
  <c r="M21" i="53" s="1"/>
  <c r="L23" i="53"/>
  <c r="M23" i="53" s="1"/>
  <c r="L27" i="53"/>
  <c r="M27" i="53" s="1"/>
  <c r="L6" i="53"/>
  <c r="M6" i="53" s="1"/>
  <c r="L8" i="53"/>
  <c r="M8" i="53" s="1"/>
  <c r="L10" i="53"/>
  <c r="M10" i="53" s="1"/>
  <c r="L12" i="53"/>
  <c r="M12" i="53" s="1"/>
  <c r="L14" i="53"/>
  <c r="M14" i="53" s="1"/>
  <c r="L16" i="53"/>
  <c r="M16" i="53" s="1"/>
  <c r="L18" i="53"/>
  <c r="M18" i="53" s="1"/>
  <c r="L20" i="53"/>
  <c r="M20" i="53" s="1"/>
  <c r="L22" i="53"/>
  <c r="M22" i="53" s="1"/>
  <c r="L24" i="53"/>
  <c r="M24" i="53" s="1"/>
  <c r="L26" i="53"/>
  <c r="M26" i="53" s="1"/>
  <c r="L15" i="53"/>
  <c r="M15" i="53" s="1"/>
  <c r="AJ14" i="53"/>
  <c r="AL14" i="49"/>
  <c r="AK14" i="49"/>
  <c r="AC21" i="49"/>
  <c r="AD21" i="49" s="1"/>
  <c r="AA21" i="49"/>
  <c r="AE21" i="49" s="1"/>
  <c r="AB21" i="49"/>
  <c r="AI21" i="49"/>
  <c r="AJ15" i="49"/>
  <c r="AJ14" i="48"/>
  <c r="AA17" i="47"/>
  <c r="AE17" i="47" s="1"/>
  <c r="AJ14" i="47"/>
  <c r="Y85" i="46"/>
  <c r="W86" i="46"/>
  <c r="X85" i="46"/>
  <c r="AB85" i="46" s="1"/>
  <c r="W95" i="46"/>
  <c r="Y94" i="46"/>
  <c r="X94" i="46"/>
  <c r="X104" i="46"/>
  <c r="Y104" i="46"/>
  <c r="AI104" i="46" s="1"/>
  <c r="Y51" i="46"/>
  <c r="W52" i="46"/>
  <c r="X51" i="46"/>
  <c r="Y89" i="46"/>
  <c r="AI89" i="46" s="1"/>
  <c r="W90" i="46"/>
  <c r="X89" i="46"/>
  <c r="Y102" i="46"/>
  <c r="X102" i="46"/>
  <c r="W103" i="46"/>
  <c r="AO75" i="46"/>
  <c r="AM75" i="46"/>
  <c r="AN75" i="46"/>
  <c r="AP75" i="46"/>
  <c r="AJ76" i="46"/>
  <c r="AL75" i="46"/>
  <c r="AK75" i="46"/>
  <c r="W57" i="46"/>
  <c r="AC56" i="46" s="1"/>
  <c r="AD56" i="46" s="1"/>
  <c r="AB11" i="48"/>
  <c r="AA11" i="48"/>
  <c r="AC11" i="48"/>
  <c r="AD11" i="48" s="1"/>
  <c r="K10" i="48"/>
  <c r="J10" i="48"/>
  <c r="M14" i="47"/>
  <c r="P10" i="43"/>
  <c r="O10" i="43"/>
  <c r="F68" i="46"/>
  <c r="F55" i="46"/>
  <c r="F52" i="46"/>
  <c r="F44" i="46"/>
  <c r="F43" i="46"/>
  <c r="F15" i="46"/>
  <c r="AZ30" i="65" l="1"/>
  <c r="EF29" i="65"/>
  <c r="EG29" i="65" s="1"/>
  <c r="DD30" i="65"/>
  <c r="DE30" i="65" s="1"/>
  <c r="CB29" i="65"/>
  <c r="CC29" i="65" s="1"/>
  <c r="X30" i="65"/>
  <c r="Y30" i="65" s="1"/>
  <c r="AL30" i="64"/>
  <c r="AZ29" i="62"/>
  <c r="X30" i="62"/>
  <c r="CF28" i="61"/>
  <c r="CG28" i="61" s="1"/>
  <c r="BD29" i="61"/>
  <c r="BE29" i="61" s="1"/>
  <c r="X34" i="61"/>
  <c r="Y34" i="61" s="1"/>
  <c r="CB25" i="72"/>
  <c r="X32" i="72"/>
  <c r="Y31" i="72"/>
  <c r="AJ16" i="45"/>
  <c r="BC79" i="53"/>
  <c r="BC8" i="53"/>
  <c r="BC10" i="53"/>
  <c r="BC12" i="53"/>
  <c r="BC14" i="53"/>
  <c r="BC16" i="53"/>
  <c r="BC18" i="53"/>
  <c r="BC20" i="53"/>
  <c r="BC22" i="53"/>
  <c r="BC24" i="53"/>
  <c r="BC26" i="53"/>
  <c r="BC28" i="53"/>
  <c r="BC30" i="53"/>
  <c r="BC32" i="53"/>
  <c r="BC34" i="53"/>
  <c r="BC36" i="53"/>
  <c r="BC38" i="53"/>
  <c r="BC40" i="53"/>
  <c r="BC42" i="53"/>
  <c r="BC44" i="53"/>
  <c r="BC46" i="53"/>
  <c r="BC48" i="53"/>
  <c r="BC50" i="53"/>
  <c r="BC52" i="53"/>
  <c r="BC54" i="53"/>
  <c r="BC56" i="53"/>
  <c r="BC58" i="53"/>
  <c r="BC60" i="53"/>
  <c r="BC62" i="53"/>
  <c r="BC64" i="53"/>
  <c r="BC66" i="53"/>
  <c r="BC68" i="53"/>
  <c r="BC70" i="53"/>
  <c r="BC72" i="53"/>
  <c r="BC74" i="53"/>
  <c r="BC76" i="53"/>
  <c r="BC78" i="53"/>
  <c r="BC7" i="53"/>
  <c r="BC9" i="53"/>
  <c r="BC11" i="53"/>
  <c r="BC13" i="53"/>
  <c r="BC15" i="53"/>
  <c r="BC17" i="53"/>
  <c r="BC19" i="53"/>
  <c r="BC21" i="53"/>
  <c r="BC23" i="53"/>
  <c r="BC25" i="53"/>
  <c r="BC27" i="53"/>
  <c r="BC29" i="53"/>
  <c r="BC31" i="53"/>
  <c r="BC33" i="53"/>
  <c r="BC35" i="53"/>
  <c r="BC37" i="53"/>
  <c r="BC39" i="53"/>
  <c r="BC41" i="53"/>
  <c r="BC43" i="53"/>
  <c r="BC45" i="53"/>
  <c r="BC47" i="53"/>
  <c r="BC49" i="53"/>
  <c r="BC51" i="53"/>
  <c r="BC53" i="53"/>
  <c r="BC55" i="53"/>
  <c r="BC57" i="53"/>
  <c r="BC59" i="53"/>
  <c r="BC61" i="53"/>
  <c r="BC63" i="53"/>
  <c r="BC65" i="53"/>
  <c r="BC67" i="53"/>
  <c r="BC69" i="53"/>
  <c r="BC71" i="53"/>
  <c r="BC73" i="53"/>
  <c r="BC75" i="53"/>
  <c r="BC77" i="53"/>
  <c r="BC6" i="53"/>
  <c r="BA7" i="53"/>
  <c r="BA9" i="53"/>
  <c r="BA11" i="53"/>
  <c r="BA13" i="53"/>
  <c r="BA15" i="53"/>
  <c r="BA17" i="53"/>
  <c r="BA19" i="53"/>
  <c r="BA21" i="53"/>
  <c r="BA23" i="53"/>
  <c r="BA25" i="53"/>
  <c r="BA27" i="53"/>
  <c r="BA29" i="53"/>
  <c r="BA31" i="53"/>
  <c r="BA33" i="53"/>
  <c r="BA35" i="53"/>
  <c r="BA37" i="53"/>
  <c r="BA39" i="53"/>
  <c r="BA41" i="53"/>
  <c r="BA43" i="53"/>
  <c r="BA45" i="53"/>
  <c r="BA47" i="53"/>
  <c r="BA49" i="53"/>
  <c r="BA51" i="53"/>
  <c r="BA53" i="53"/>
  <c r="BA55" i="53"/>
  <c r="BA57" i="53"/>
  <c r="BA59" i="53"/>
  <c r="BA61" i="53"/>
  <c r="BA63" i="53"/>
  <c r="BA65" i="53"/>
  <c r="BA67" i="53"/>
  <c r="BA69" i="53"/>
  <c r="BA71" i="53"/>
  <c r="BA73" i="53"/>
  <c r="BA75" i="53"/>
  <c r="BA77" i="53"/>
  <c r="BA79" i="53"/>
  <c r="BA8" i="53"/>
  <c r="BA10" i="53"/>
  <c r="BA12" i="53"/>
  <c r="BA14" i="53"/>
  <c r="BA16" i="53"/>
  <c r="BA18" i="53"/>
  <c r="BA20" i="53"/>
  <c r="BA22" i="53"/>
  <c r="BA24" i="53"/>
  <c r="BA26" i="53"/>
  <c r="BA28" i="53"/>
  <c r="BA30" i="53"/>
  <c r="BA32" i="53"/>
  <c r="BA34" i="53"/>
  <c r="BA36" i="53"/>
  <c r="BA38" i="53"/>
  <c r="BA40" i="53"/>
  <c r="BA42" i="53"/>
  <c r="BA44" i="53"/>
  <c r="BA46" i="53"/>
  <c r="BA48" i="53"/>
  <c r="BA50" i="53"/>
  <c r="BA52" i="53"/>
  <c r="BA54" i="53"/>
  <c r="BA56" i="53"/>
  <c r="BA58" i="53"/>
  <c r="BA60" i="53"/>
  <c r="BA62" i="53"/>
  <c r="BA64" i="53"/>
  <c r="BA66" i="53"/>
  <c r="BA68" i="53"/>
  <c r="BA70" i="53"/>
  <c r="BA72" i="53"/>
  <c r="BA74" i="53"/>
  <c r="BA76" i="53"/>
  <c r="BA78" i="53"/>
  <c r="BA6" i="53"/>
  <c r="AW7" i="53"/>
  <c r="AW9" i="53"/>
  <c r="AW11" i="53"/>
  <c r="AW13" i="53"/>
  <c r="AW15" i="53"/>
  <c r="AW17" i="53"/>
  <c r="AW19" i="53"/>
  <c r="AW21" i="53"/>
  <c r="AW23" i="53"/>
  <c r="AW25" i="53"/>
  <c r="AW27" i="53"/>
  <c r="AW29" i="53"/>
  <c r="AW31" i="53"/>
  <c r="AW33" i="53"/>
  <c r="AW35" i="53"/>
  <c r="AW37" i="53"/>
  <c r="AW39" i="53"/>
  <c r="AW41" i="53"/>
  <c r="AW43" i="53"/>
  <c r="AW45" i="53"/>
  <c r="AW47" i="53"/>
  <c r="AW49" i="53"/>
  <c r="AW51" i="53"/>
  <c r="AW53" i="53"/>
  <c r="AW55" i="53"/>
  <c r="AW57" i="53"/>
  <c r="AW59" i="53"/>
  <c r="AW61" i="53"/>
  <c r="AW63" i="53"/>
  <c r="AW65" i="53"/>
  <c r="AW67" i="53"/>
  <c r="AW69" i="53"/>
  <c r="AW71" i="53"/>
  <c r="AW73" i="53"/>
  <c r="AW75" i="53"/>
  <c r="AW77" i="53"/>
  <c r="AW79" i="53"/>
  <c r="AW8" i="53"/>
  <c r="AW10" i="53"/>
  <c r="AW12" i="53"/>
  <c r="AW14" i="53"/>
  <c r="AW16" i="53"/>
  <c r="AW18" i="53"/>
  <c r="AW20" i="53"/>
  <c r="AW22" i="53"/>
  <c r="AW24" i="53"/>
  <c r="AW26" i="53"/>
  <c r="AW28" i="53"/>
  <c r="AW30" i="53"/>
  <c r="AW32" i="53"/>
  <c r="AW34" i="53"/>
  <c r="AW36" i="53"/>
  <c r="AW38" i="53"/>
  <c r="AW40" i="53"/>
  <c r="AW42" i="53"/>
  <c r="AW44" i="53"/>
  <c r="AW46" i="53"/>
  <c r="AW48" i="53"/>
  <c r="AW50" i="53"/>
  <c r="AW52" i="53"/>
  <c r="AW54" i="53"/>
  <c r="AW56" i="53"/>
  <c r="AW58" i="53"/>
  <c r="AW60" i="53"/>
  <c r="AW62" i="53"/>
  <c r="AW64" i="53"/>
  <c r="AW66" i="53"/>
  <c r="AW68" i="53"/>
  <c r="AW70" i="53"/>
  <c r="AW72" i="53"/>
  <c r="AW74" i="53"/>
  <c r="AW76" i="53"/>
  <c r="AW78" i="53"/>
  <c r="AW6" i="53"/>
  <c r="AS7" i="53"/>
  <c r="AS9" i="53"/>
  <c r="AS11" i="53"/>
  <c r="AS13" i="53"/>
  <c r="AS15" i="53"/>
  <c r="AS17" i="53"/>
  <c r="AS19" i="53"/>
  <c r="AS21" i="53"/>
  <c r="AS23" i="53"/>
  <c r="AS25" i="53"/>
  <c r="AS27" i="53"/>
  <c r="AS29" i="53"/>
  <c r="AS31" i="53"/>
  <c r="AS33" i="53"/>
  <c r="AS35" i="53"/>
  <c r="AS37" i="53"/>
  <c r="AS39" i="53"/>
  <c r="AS41" i="53"/>
  <c r="AS43" i="53"/>
  <c r="AS45" i="53"/>
  <c r="AS47" i="53"/>
  <c r="AS49" i="53"/>
  <c r="AS51" i="53"/>
  <c r="AS53" i="53"/>
  <c r="AS55" i="53"/>
  <c r="AS57" i="53"/>
  <c r="AS59" i="53"/>
  <c r="AS61" i="53"/>
  <c r="AS63" i="53"/>
  <c r="AS65" i="53"/>
  <c r="AS67" i="53"/>
  <c r="AS69" i="53"/>
  <c r="AS71" i="53"/>
  <c r="AS73" i="53"/>
  <c r="AS75" i="53"/>
  <c r="AS77" i="53"/>
  <c r="AS79" i="53"/>
  <c r="AS8" i="53"/>
  <c r="AS10" i="53"/>
  <c r="AS12" i="53"/>
  <c r="AS14" i="53"/>
  <c r="AS16" i="53"/>
  <c r="AS18" i="53"/>
  <c r="AS20" i="53"/>
  <c r="AS22" i="53"/>
  <c r="AS24" i="53"/>
  <c r="AS26" i="53"/>
  <c r="AS28" i="53"/>
  <c r="AS30" i="53"/>
  <c r="AS32" i="53"/>
  <c r="AS34" i="53"/>
  <c r="AS36" i="53"/>
  <c r="AS38" i="53"/>
  <c r="AS40" i="53"/>
  <c r="AS42" i="53"/>
  <c r="AS44" i="53"/>
  <c r="AS46" i="53"/>
  <c r="AS48" i="53"/>
  <c r="AS50" i="53"/>
  <c r="AS52" i="53"/>
  <c r="AS54" i="53"/>
  <c r="AS56" i="53"/>
  <c r="AS58" i="53"/>
  <c r="AS60" i="53"/>
  <c r="AS62" i="53"/>
  <c r="AS64" i="53"/>
  <c r="AS66" i="53"/>
  <c r="AS68" i="53"/>
  <c r="AS70" i="53"/>
  <c r="AS72" i="53"/>
  <c r="AS74" i="53"/>
  <c r="AS76" i="53"/>
  <c r="AS78" i="53"/>
  <c r="AS6" i="53"/>
  <c r="AR7" i="53"/>
  <c r="AR9" i="53"/>
  <c r="AR11" i="53"/>
  <c r="AR13" i="53"/>
  <c r="AR15" i="53"/>
  <c r="AR17" i="53"/>
  <c r="AR19" i="53"/>
  <c r="AR21" i="53"/>
  <c r="AR23" i="53"/>
  <c r="AR25" i="53"/>
  <c r="AR27" i="53"/>
  <c r="AR29" i="53"/>
  <c r="AR31" i="53"/>
  <c r="AR33" i="53"/>
  <c r="AR35" i="53"/>
  <c r="AR37" i="53"/>
  <c r="AR39" i="53"/>
  <c r="AR41" i="53"/>
  <c r="AR43" i="53"/>
  <c r="AR45" i="53"/>
  <c r="AR47" i="53"/>
  <c r="AR49" i="53"/>
  <c r="AR51" i="53"/>
  <c r="AR53" i="53"/>
  <c r="AR55" i="53"/>
  <c r="AR57" i="53"/>
  <c r="AR59" i="53"/>
  <c r="AR61" i="53"/>
  <c r="AR63" i="53"/>
  <c r="AR65" i="53"/>
  <c r="AR67" i="53"/>
  <c r="AR69" i="53"/>
  <c r="AR71" i="53"/>
  <c r="AR73" i="53"/>
  <c r="AR75" i="53"/>
  <c r="AR77" i="53"/>
  <c r="AR79" i="53"/>
  <c r="AR6" i="53"/>
  <c r="AR8" i="53"/>
  <c r="AR10" i="53"/>
  <c r="AR12" i="53"/>
  <c r="AR14" i="53"/>
  <c r="AR16" i="53"/>
  <c r="AR18" i="53"/>
  <c r="AR20" i="53"/>
  <c r="AR22" i="53"/>
  <c r="AR24" i="53"/>
  <c r="AR26" i="53"/>
  <c r="AR28" i="53"/>
  <c r="AR30" i="53"/>
  <c r="AR32" i="53"/>
  <c r="AR34" i="53"/>
  <c r="AR36" i="53"/>
  <c r="AR38" i="53"/>
  <c r="AR40" i="53"/>
  <c r="AR42" i="53"/>
  <c r="AR44" i="53"/>
  <c r="AR46" i="53"/>
  <c r="AR48" i="53"/>
  <c r="AR50" i="53"/>
  <c r="AR52" i="53"/>
  <c r="AR54" i="53"/>
  <c r="AR56" i="53"/>
  <c r="AR58" i="53"/>
  <c r="AR60" i="53"/>
  <c r="AR62" i="53"/>
  <c r="AR64" i="53"/>
  <c r="AR66" i="53"/>
  <c r="AR68" i="53"/>
  <c r="AR70" i="53"/>
  <c r="AR72" i="53"/>
  <c r="AR74" i="53"/>
  <c r="AR76" i="53"/>
  <c r="AR78" i="53"/>
  <c r="AQ7" i="53"/>
  <c r="AQ9" i="53"/>
  <c r="AQ11" i="53"/>
  <c r="AQ13" i="53"/>
  <c r="AQ15" i="53"/>
  <c r="AQ17" i="53"/>
  <c r="AQ19" i="53"/>
  <c r="AQ21" i="53"/>
  <c r="AQ23" i="53"/>
  <c r="AQ25" i="53"/>
  <c r="AQ27" i="53"/>
  <c r="AQ29" i="53"/>
  <c r="AQ31" i="53"/>
  <c r="AQ33" i="53"/>
  <c r="AQ35" i="53"/>
  <c r="AQ37" i="53"/>
  <c r="AQ39" i="53"/>
  <c r="AQ41" i="53"/>
  <c r="AQ43" i="53"/>
  <c r="AQ45" i="53"/>
  <c r="AQ47" i="53"/>
  <c r="AQ49" i="53"/>
  <c r="AQ51" i="53"/>
  <c r="AQ53" i="53"/>
  <c r="AQ55" i="53"/>
  <c r="AQ57" i="53"/>
  <c r="AQ59" i="53"/>
  <c r="AQ61" i="53"/>
  <c r="AQ63" i="53"/>
  <c r="AQ65" i="53"/>
  <c r="AQ67" i="53"/>
  <c r="AQ69" i="53"/>
  <c r="AQ71" i="53"/>
  <c r="AQ73" i="53"/>
  <c r="AQ75" i="53"/>
  <c r="AQ77" i="53"/>
  <c r="AQ79" i="53"/>
  <c r="AQ8" i="53"/>
  <c r="AQ10" i="53"/>
  <c r="AQ12" i="53"/>
  <c r="AQ14" i="53"/>
  <c r="AQ16" i="53"/>
  <c r="AQ18" i="53"/>
  <c r="AQ20" i="53"/>
  <c r="AQ22" i="53"/>
  <c r="AQ24" i="53"/>
  <c r="AQ26" i="53"/>
  <c r="AQ28" i="53"/>
  <c r="AQ30" i="53"/>
  <c r="AQ32" i="53"/>
  <c r="AQ34" i="53"/>
  <c r="AQ36" i="53"/>
  <c r="AQ38" i="53"/>
  <c r="AQ40" i="53"/>
  <c r="AQ42" i="53"/>
  <c r="AQ44" i="53"/>
  <c r="AQ46" i="53"/>
  <c r="AQ48" i="53"/>
  <c r="AQ50" i="53"/>
  <c r="AQ52" i="53"/>
  <c r="AQ54" i="53"/>
  <c r="AQ56" i="53"/>
  <c r="AQ58" i="53"/>
  <c r="AQ60" i="53"/>
  <c r="AQ62" i="53"/>
  <c r="AQ64" i="53"/>
  <c r="AQ66" i="53"/>
  <c r="AQ68" i="53"/>
  <c r="AQ70" i="53"/>
  <c r="AQ72" i="53"/>
  <c r="AQ74" i="53"/>
  <c r="AQ76" i="53"/>
  <c r="AQ78" i="53"/>
  <c r="AQ6" i="53"/>
  <c r="AO7" i="53"/>
  <c r="AO9" i="53"/>
  <c r="AO11" i="53"/>
  <c r="AO13" i="53"/>
  <c r="AO15" i="53"/>
  <c r="AO17" i="53"/>
  <c r="AO19" i="53"/>
  <c r="AO21" i="53"/>
  <c r="AO23" i="53"/>
  <c r="AO25" i="53"/>
  <c r="AO27" i="53"/>
  <c r="AO29" i="53"/>
  <c r="AO31" i="53"/>
  <c r="AO33" i="53"/>
  <c r="AO35" i="53"/>
  <c r="AO37" i="53"/>
  <c r="AO39" i="53"/>
  <c r="AO41" i="53"/>
  <c r="AO43" i="53"/>
  <c r="AO45" i="53"/>
  <c r="AO47" i="53"/>
  <c r="AO49" i="53"/>
  <c r="AO51" i="53"/>
  <c r="AO53" i="53"/>
  <c r="AO55" i="53"/>
  <c r="AO57" i="53"/>
  <c r="AO59" i="53"/>
  <c r="AO61" i="53"/>
  <c r="AO63" i="53"/>
  <c r="AO65" i="53"/>
  <c r="AO67" i="53"/>
  <c r="AO69" i="53"/>
  <c r="AO71" i="53"/>
  <c r="AO73" i="53"/>
  <c r="AO75" i="53"/>
  <c r="AO77" i="53"/>
  <c r="AO79" i="53"/>
  <c r="AO8" i="53"/>
  <c r="AO12" i="53"/>
  <c r="AO14" i="53"/>
  <c r="AO16" i="53"/>
  <c r="AO18" i="53"/>
  <c r="AO20" i="53"/>
  <c r="AO22" i="53"/>
  <c r="AO26" i="53"/>
  <c r="AO28" i="53"/>
  <c r="AO32" i="53"/>
  <c r="AO36" i="53"/>
  <c r="AO40" i="53"/>
  <c r="AO44" i="53"/>
  <c r="AO46" i="53"/>
  <c r="AO50" i="53"/>
  <c r="AO54" i="53"/>
  <c r="AO58" i="53"/>
  <c r="AO62" i="53"/>
  <c r="AO66" i="53"/>
  <c r="AO70" i="53"/>
  <c r="AO72" i="53"/>
  <c r="AO76" i="53"/>
  <c r="AO6" i="53"/>
  <c r="AO10" i="53"/>
  <c r="AO24" i="53"/>
  <c r="AO30" i="53"/>
  <c r="AO34" i="53"/>
  <c r="AO38" i="53"/>
  <c r="AO42" i="53"/>
  <c r="AO48" i="53"/>
  <c r="AO52" i="53"/>
  <c r="AO56" i="53"/>
  <c r="AO60" i="53"/>
  <c r="AO64" i="53"/>
  <c r="AO68" i="53"/>
  <c r="AO74" i="53"/>
  <c r="AO78" i="53"/>
  <c r="AN7" i="53"/>
  <c r="AN9" i="53"/>
  <c r="AN11" i="53"/>
  <c r="AN13" i="53"/>
  <c r="AN15" i="53"/>
  <c r="AN17" i="53"/>
  <c r="AN19" i="53"/>
  <c r="AN21" i="53"/>
  <c r="AN23" i="53"/>
  <c r="AN25" i="53"/>
  <c r="AN27" i="53"/>
  <c r="AN29" i="53"/>
  <c r="AN31" i="53"/>
  <c r="AN33" i="53"/>
  <c r="AN35" i="53"/>
  <c r="AN37" i="53"/>
  <c r="AN39" i="53"/>
  <c r="AN41" i="53"/>
  <c r="AN43" i="53"/>
  <c r="AN45" i="53"/>
  <c r="AN47" i="53"/>
  <c r="AN49" i="53"/>
  <c r="AN51" i="53"/>
  <c r="AN53" i="53"/>
  <c r="AN55" i="53"/>
  <c r="AN57" i="53"/>
  <c r="AN59" i="53"/>
  <c r="AN61" i="53"/>
  <c r="AN63" i="53"/>
  <c r="AN65" i="53"/>
  <c r="AN67" i="53"/>
  <c r="AN69" i="53"/>
  <c r="AN71" i="53"/>
  <c r="AN73" i="53"/>
  <c r="AN75" i="53"/>
  <c r="AN77" i="53"/>
  <c r="AN79" i="53"/>
  <c r="AN6" i="53"/>
  <c r="AN8" i="53"/>
  <c r="AN10" i="53"/>
  <c r="AN12" i="53"/>
  <c r="AN14" i="53"/>
  <c r="AN16" i="53"/>
  <c r="AN18" i="53"/>
  <c r="AN20" i="53"/>
  <c r="AN22" i="53"/>
  <c r="AN24" i="53"/>
  <c r="AN26" i="53"/>
  <c r="AN28" i="53"/>
  <c r="AN30" i="53"/>
  <c r="AN32" i="53"/>
  <c r="AN34" i="53"/>
  <c r="AN36" i="53"/>
  <c r="AN38" i="53"/>
  <c r="AN40" i="53"/>
  <c r="AN42" i="53"/>
  <c r="AN44" i="53"/>
  <c r="AN46" i="53"/>
  <c r="AN48" i="53"/>
  <c r="AN50" i="53"/>
  <c r="AN52" i="53"/>
  <c r="AN54" i="53"/>
  <c r="AN56" i="53"/>
  <c r="AN58" i="53"/>
  <c r="AN60" i="53"/>
  <c r="AN62" i="53"/>
  <c r="AN64" i="53"/>
  <c r="AN66" i="53"/>
  <c r="AN68" i="53"/>
  <c r="AN70" i="53"/>
  <c r="AN72" i="53"/>
  <c r="AN74" i="53"/>
  <c r="AN76" i="53"/>
  <c r="AN78" i="53"/>
  <c r="AK7" i="53"/>
  <c r="AK9" i="53"/>
  <c r="AK11" i="53"/>
  <c r="AK13" i="53"/>
  <c r="AK15" i="53"/>
  <c r="AK17" i="53"/>
  <c r="AK19" i="53"/>
  <c r="AK21" i="53"/>
  <c r="AK23" i="53"/>
  <c r="AK25" i="53"/>
  <c r="AK27" i="53"/>
  <c r="AK29" i="53"/>
  <c r="AK31" i="53"/>
  <c r="AK33" i="53"/>
  <c r="AK35" i="53"/>
  <c r="AK37" i="53"/>
  <c r="AK39" i="53"/>
  <c r="AK41" i="53"/>
  <c r="AK43" i="53"/>
  <c r="AK45" i="53"/>
  <c r="AK47" i="53"/>
  <c r="AK49" i="53"/>
  <c r="AK51" i="53"/>
  <c r="AK53" i="53"/>
  <c r="AK55" i="53"/>
  <c r="AK57" i="53"/>
  <c r="AK59" i="53"/>
  <c r="AK61" i="53"/>
  <c r="AK63" i="53"/>
  <c r="AK65" i="53"/>
  <c r="AK67" i="53"/>
  <c r="AK69" i="53"/>
  <c r="AK71" i="53"/>
  <c r="AK73" i="53"/>
  <c r="AK75" i="53"/>
  <c r="AK77" i="53"/>
  <c r="AK79" i="53"/>
  <c r="AK8" i="53"/>
  <c r="AK10" i="53"/>
  <c r="AK12" i="53"/>
  <c r="AK14" i="53"/>
  <c r="AK16" i="53"/>
  <c r="AK18" i="53"/>
  <c r="AK20" i="53"/>
  <c r="AK22" i="53"/>
  <c r="AK24" i="53"/>
  <c r="AK26" i="53"/>
  <c r="AK28" i="53"/>
  <c r="AK30" i="53"/>
  <c r="AK32" i="53"/>
  <c r="AK34" i="53"/>
  <c r="AK36" i="53"/>
  <c r="AK38" i="53"/>
  <c r="AK40" i="53"/>
  <c r="AK42" i="53"/>
  <c r="AK44" i="53"/>
  <c r="AK46" i="53"/>
  <c r="AK48" i="53"/>
  <c r="AK50" i="53"/>
  <c r="AK52" i="53"/>
  <c r="AK54" i="53"/>
  <c r="AK56" i="53"/>
  <c r="AK58" i="53"/>
  <c r="AK60" i="53"/>
  <c r="AK62" i="53"/>
  <c r="AK64" i="53"/>
  <c r="AK66" i="53"/>
  <c r="AK68" i="53"/>
  <c r="AK70" i="53"/>
  <c r="AK72" i="53"/>
  <c r="AK74" i="53"/>
  <c r="AK76" i="53"/>
  <c r="AK78" i="53"/>
  <c r="AQ8" i="49"/>
  <c r="AQ10" i="49"/>
  <c r="AQ13" i="49"/>
  <c r="AQ15" i="49"/>
  <c r="AQ17" i="49"/>
  <c r="AQ19" i="49"/>
  <c r="AQ21" i="49"/>
  <c r="AQ23" i="49"/>
  <c r="AQ25" i="49"/>
  <c r="AQ27" i="49"/>
  <c r="AQ29" i="49"/>
  <c r="AQ31" i="49"/>
  <c r="AQ33" i="49"/>
  <c r="AQ35" i="49"/>
  <c r="AQ37" i="49"/>
  <c r="AQ39" i="49"/>
  <c r="AQ41" i="49"/>
  <c r="AQ43" i="49"/>
  <c r="AQ45" i="49"/>
  <c r="AQ47" i="49"/>
  <c r="AQ49" i="49"/>
  <c r="AQ51" i="49"/>
  <c r="AQ53" i="49"/>
  <c r="AQ55" i="49"/>
  <c r="AQ57" i="49"/>
  <c r="AQ59" i="49"/>
  <c r="AQ61" i="49"/>
  <c r="AQ63" i="49"/>
  <c r="AQ65" i="49"/>
  <c r="AQ67" i="49"/>
  <c r="AQ69" i="49"/>
  <c r="AQ71" i="49"/>
  <c r="AQ73" i="49"/>
  <c r="AQ75" i="49"/>
  <c r="AQ77" i="49"/>
  <c r="AQ79" i="49"/>
  <c r="AQ6" i="49"/>
  <c r="AQ11" i="49"/>
  <c r="AQ7" i="49"/>
  <c r="AQ9" i="49"/>
  <c r="AQ12" i="49"/>
  <c r="AQ14" i="49"/>
  <c r="AQ16" i="49"/>
  <c r="AQ18" i="49"/>
  <c r="AQ20" i="49"/>
  <c r="AQ22" i="49"/>
  <c r="AQ24" i="49"/>
  <c r="AQ26" i="49"/>
  <c r="AQ28" i="49"/>
  <c r="AQ30" i="49"/>
  <c r="AQ32" i="49"/>
  <c r="AQ34" i="49"/>
  <c r="AQ36" i="49"/>
  <c r="AQ38" i="49"/>
  <c r="AQ40" i="49"/>
  <c r="AQ42" i="49"/>
  <c r="AQ44" i="49"/>
  <c r="AQ46" i="49"/>
  <c r="AQ48" i="49"/>
  <c r="AQ50" i="49"/>
  <c r="AQ52" i="49"/>
  <c r="AQ54" i="49"/>
  <c r="AQ56" i="49"/>
  <c r="AQ58" i="49"/>
  <c r="AQ60" i="49"/>
  <c r="AQ62" i="49"/>
  <c r="AQ64" i="49"/>
  <c r="AQ66" i="49"/>
  <c r="AQ68" i="49"/>
  <c r="AQ70" i="49"/>
  <c r="AQ72" i="49"/>
  <c r="AQ74" i="49"/>
  <c r="AQ76" i="49"/>
  <c r="AQ78" i="49"/>
  <c r="AO7" i="47"/>
  <c r="AO9" i="47"/>
  <c r="AO11" i="47"/>
  <c r="AO13" i="47"/>
  <c r="AO15" i="47"/>
  <c r="AO17" i="47"/>
  <c r="AO19" i="47"/>
  <c r="AO21" i="47"/>
  <c r="AO23" i="47"/>
  <c r="AO25" i="47"/>
  <c r="AO27" i="47"/>
  <c r="AO29" i="47"/>
  <c r="AO31" i="47"/>
  <c r="AO33" i="47"/>
  <c r="AO35" i="47"/>
  <c r="AO37" i="47"/>
  <c r="AO39" i="47"/>
  <c r="AO41" i="47"/>
  <c r="AO43" i="47"/>
  <c r="AO45" i="47"/>
  <c r="AO47" i="47"/>
  <c r="AO49" i="47"/>
  <c r="AO51" i="47"/>
  <c r="AO53" i="47"/>
  <c r="AO55" i="47"/>
  <c r="AO57" i="47"/>
  <c r="AO59" i="47"/>
  <c r="AO61" i="47"/>
  <c r="AO63" i="47"/>
  <c r="AO65" i="47"/>
  <c r="AO67" i="47"/>
  <c r="AO69" i="47"/>
  <c r="AO71" i="47"/>
  <c r="AO73" i="47"/>
  <c r="AO75" i="47"/>
  <c r="AO77" i="47"/>
  <c r="AO79" i="47"/>
  <c r="AO6" i="47"/>
  <c r="AO8" i="47"/>
  <c r="AO10" i="47"/>
  <c r="AO12" i="47"/>
  <c r="AO14" i="47"/>
  <c r="AO16" i="47"/>
  <c r="AO18" i="47"/>
  <c r="AO20" i="47"/>
  <c r="AO22" i="47"/>
  <c r="AO24" i="47"/>
  <c r="AO26" i="47"/>
  <c r="AO28" i="47"/>
  <c r="AO30" i="47"/>
  <c r="AO32" i="47"/>
  <c r="AO34" i="47"/>
  <c r="AO36" i="47"/>
  <c r="AO38" i="47"/>
  <c r="AO40" i="47"/>
  <c r="AO42" i="47"/>
  <c r="AO44" i="47"/>
  <c r="AO46" i="47"/>
  <c r="AO48" i="47"/>
  <c r="AO50" i="47"/>
  <c r="AO52" i="47"/>
  <c r="AO54" i="47"/>
  <c r="AO56" i="47"/>
  <c r="AO58" i="47"/>
  <c r="AO60" i="47"/>
  <c r="AO62" i="47"/>
  <c r="AO64" i="47"/>
  <c r="AO66" i="47"/>
  <c r="AO68" i="47"/>
  <c r="AO70" i="47"/>
  <c r="AO72" i="47"/>
  <c r="AO74" i="47"/>
  <c r="AO76" i="47"/>
  <c r="AO78" i="47"/>
  <c r="AH17" i="47"/>
  <c r="AG17" i="47"/>
  <c r="AF17" i="47"/>
  <c r="AG23" i="53"/>
  <c r="AF23" i="53"/>
  <c r="AH23" i="53"/>
  <c r="AK6" i="53"/>
  <c r="AH6" i="53"/>
  <c r="AG6" i="53"/>
  <c r="AF6" i="53"/>
  <c r="AH20" i="53"/>
  <c r="AG20" i="53"/>
  <c r="AF20" i="53"/>
  <c r="AH16" i="53"/>
  <c r="AG16" i="53"/>
  <c r="AF16" i="53"/>
  <c r="AH34" i="53"/>
  <c r="AG34" i="53"/>
  <c r="AF34" i="53"/>
  <c r="AH26" i="53"/>
  <c r="AG26" i="53"/>
  <c r="AF26" i="53"/>
  <c r="AG14" i="53"/>
  <c r="AF14" i="53"/>
  <c r="AH14" i="53"/>
  <c r="AH44" i="53"/>
  <c r="AG44" i="53"/>
  <c r="AF44" i="53"/>
  <c r="AH49" i="53"/>
  <c r="AG49" i="53"/>
  <c r="AF49" i="53"/>
  <c r="AJ15" i="53"/>
  <c r="AK15" i="49"/>
  <c r="AL15" i="49"/>
  <c r="AH21" i="49"/>
  <c r="AG21" i="49"/>
  <c r="AF21" i="49"/>
  <c r="AJ16" i="49"/>
  <c r="AJ15" i="48"/>
  <c r="AJ15" i="47"/>
  <c r="AI102" i="46"/>
  <c r="AB102" i="46"/>
  <c r="Z102" i="46"/>
  <c r="AA102" i="46" s="1"/>
  <c r="AE102" i="46" s="1"/>
  <c r="AC102" i="46"/>
  <c r="AD102" i="46" s="1"/>
  <c r="AI51" i="46"/>
  <c r="AB51" i="46"/>
  <c r="AC51" i="46"/>
  <c r="AD51" i="46" s="1"/>
  <c r="Z51" i="46"/>
  <c r="AA51" i="46" s="1"/>
  <c r="AE51" i="46" s="1"/>
  <c r="AI85" i="46"/>
  <c r="Z85" i="46"/>
  <c r="AA85" i="46" s="1"/>
  <c r="AE85" i="46" s="1"/>
  <c r="AC85" i="46"/>
  <c r="AD85" i="46" s="1"/>
  <c r="AM76" i="46"/>
  <c r="AO76" i="46"/>
  <c r="AP76" i="46"/>
  <c r="AN76" i="46"/>
  <c r="AJ77" i="46"/>
  <c r="AL76" i="46"/>
  <c r="AK76" i="46"/>
  <c r="H82" i="46"/>
  <c r="F84" i="46"/>
  <c r="R82" i="46" s="1"/>
  <c r="G82" i="46"/>
  <c r="N82" i="46" s="1"/>
  <c r="T63" i="45"/>
  <c r="T61" i="45"/>
  <c r="T51" i="45"/>
  <c r="T53" i="45"/>
  <c r="T54" i="45"/>
  <c r="T55" i="45"/>
  <c r="T57" i="45"/>
  <c r="T59" i="45"/>
  <c r="T50" i="45"/>
  <c r="T44" i="45"/>
  <c r="T45" i="45"/>
  <c r="T46" i="45"/>
  <c r="T48" i="45"/>
  <c r="T42" i="45"/>
  <c r="T7" i="45"/>
  <c r="T8" i="45"/>
  <c r="T9" i="45"/>
  <c r="T11" i="45"/>
  <c r="T12" i="45"/>
  <c r="T13" i="45"/>
  <c r="T14" i="45"/>
  <c r="T15" i="45"/>
  <c r="T16" i="45"/>
  <c r="T17" i="45"/>
  <c r="T18" i="45"/>
  <c r="T20" i="45"/>
  <c r="T21" i="45"/>
  <c r="T22" i="45"/>
  <c r="T23" i="45"/>
  <c r="T24" i="45"/>
  <c r="T25" i="45"/>
  <c r="T26" i="45"/>
  <c r="T27" i="45"/>
  <c r="T28" i="45"/>
  <c r="T29" i="45"/>
  <c r="T31" i="45"/>
  <c r="T33" i="45"/>
  <c r="T34" i="45"/>
  <c r="T35" i="45"/>
  <c r="T37" i="45"/>
  <c r="T38" i="45"/>
  <c r="T39" i="45"/>
  <c r="T40" i="45"/>
  <c r="T6" i="45"/>
  <c r="W61" i="45"/>
  <c r="W59" i="45"/>
  <c r="W33" i="45"/>
  <c r="M7" i="43"/>
  <c r="M8" i="43"/>
  <c r="M9" i="43"/>
  <c r="M10" i="43"/>
  <c r="M6" i="43"/>
  <c r="B7" i="45"/>
  <c r="B8" i="45"/>
  <c r="B9" i="45"/>
  <c r="B10" i="45"/>
  <c r="B11" i="45"/>
  <c r="B12" i="45"/>
  <c r="B13" i="45"/>
  <c r="B14" i="45"/>
  <c r="B15" i="45"/>
  <c r="B16" i="45"/>
  <c r="B17" i="45"/>
  <c r="B18" i="45"/>
  <c r="B19" i="45"/>
  <c r="B20" i="45"/>
  <c r="B21" i="45"/>
  <c r="B22" i="45"/>
  <c r="B23" i="45"/>
  <c r="B24" i="45"/>
  <c r="B25" i="45"/>
  <c r="B26" i="45"/>
  <c r="B27" i="45"/>
  <c r="B28" i="45"/>
  <c r="B29" i="45"/>
  <c r="B30" i="45"/>
  <c r="B31" i="45"/>
  <c r="B32" i="45"/>
  <c r="B33" i="45"/>
  <c r="B34" i="45"/>
  <c r="B35" i="45"/>
  <c r="B36" i="45"/>
  <c r="B37" i="45"/>
  <c r="B38" i="45"/>
  <c r="B39" i="45"/>
  <c r="B40" i="45"/>
  <c r="B41" i="45"/>
  <c r="B42" i="45"/>
  <c r="B43" i="45"/>
  <c r="B44" i="45"/>
  <c r="B45" i="45"/>
  <c r="B46" i="45"/>
  <c r="B47" i="45"/>
  <c r="B6" i="45"/>
  <c r="F40" i="45"/>
  <c r="F39" i="45"/>
  <c r="F38" i="45"/>
  <c r="AG32" i="27"/>
  <c r="AG30" i="27"/>
  <c r="AG28" i="27"/>
  <c r="AG24" i="27"/>
  <c r="AG21" i="27"/>
  <c r="AG19" i="27"/>
  <c r="AG16" i="27"/>
  <c r="AG11" i="27"/>
  <c r="AG9" i="27"/>
  <c r="AC10" i="43"/>
  <c r="AC7" i="43"/>
  <c r="AB10" i="43"/>
  <c r="X10" i="43"/>
  <c r="W10" i="43"/>
  <c r="V11" i="43"/>
  <c r="V8" i="43"/>
  <c r="S12" i="43"/>
  <c r="S10" i="43"/>
  <c r="S9" i="43"/>
  <c r="S7" i="43"/>
  <c r="S6" i="43"/>
  <c r="X12" i="43"/>
  <c r="W12" i="43"/>
  <c r="V12" i="43"/>
  <c r="V13" i="43" s="1"/>
  <c r="X7" i="43"/>
  <c r="Z7" i="43" s="1"/>
  <c r="W7" i="43"/>
  <c r="L7" i="43"/>
  <c r="L8" i="43"/>
  <c r="L9" i="43"/>
  <c r="L10" i="43"/>
  <c r="L6" i="43"/>
  <c r="F11" i="43"/>
  <c r="H10" i="43"/>
  <c r="B9" i="43"/>
  <c r="B10" i="43"/>
  <c r="F9" i="43"/>
  <c r="B7" i="43"/>
  <c r="B8" i="43"/>
  <c r="B6" i="43"/>
  <c r="AZ31" i="65" l="1"/>
  <c r="EF30" i="65"/>
  <c r="EG30" i="65" s="1"/>
  <c r="DD31" i="65"/>
  <c r="DE31" i="65" s="1"/>
  <c r="CB30" i="65"/>
  <c r="CC30" i="65" s="1"/>
  <c r="X31" i="65"/>
  <c r="Y31" i="65" s="1"/>
  <c r="AL31" i="64"/>
  <c r="AZ30" i="62"/>
  <c r="X31" i="62"/>
  <c r="CF29" i="61"/>
  <c r="CG29" i="61" s="1"/>
  <c r="BD30" i="61"/>
  <c r="BE30" i="61" s="1"/>
  <c r="X35" i="61"/>
  <c r="Y35" i="61" s="1"/>
  <c r="CB26" i="72"/>
  <c r="X33" i="72"/>
  <c r="Y32" i="72"/>
  <c r="X35" i="45"/>
  <c r="Y35" i="45"/>
  <c r="Y61" i="45"/>
  <c r="X61" i="45"/>
  <c r="W60" i="45"/>
  <c r="Y59" i="45"/>
  <c r="X59" i="45"/>
  <c r="AJ17" i="45"/>
  <c r="W36" i="45"/>
  <c r="W62" i="45"/>
  <c r="F49" i="45"/>
  <c r="R47" i="45" s="1"/>
  <c r="G47" i="45"/>
  <c r="N47" i="45" s="1"/>
  <c r="F48" i="45"/>
  <c r="L40" i="45" s="1"/>
  <c r="M40" i="45" s="1"/>
  <c r="H47" i="45"/>
  <c r="I47" i="45" s="1"/>
  <c r="J47" i="45" s="1"/>
  <c r="AJ16" i="53"/>
  <c r="AL16" i="49"/>
  <c r="AK16" i="49"/>
  <c r="AJ17" i="49"/>
  <c r="AJ16" i="48"/>
  <c r="AJ16" i="47"/>
  <c r="K82" i="46"/>
  <c r="AG102" i="46"/>
  <c r="AH102" i="46"/>
  <c r="AF102" i="46"/>
  <c r="AM77" i="46"/>
  <c r="AO77" i="46"/>
  <c r="AP77" i="46"/>
  <c r="AN77" i="46"/>
  <c r="AH85" i="46"/>
  <c r="AG85" i="46"/>
  <c r="AF85" i="46"/>
  <c r="AG51" i="46"/>
  <c r="AH51" i="46"/>
  <c r="AF51" i="46"/>
  <c r="AJ78" i="46"/>
  <c r="AK77" i="46"/>
  <c r="AL77" i="46"/>
  <c r="AC73" i="46"/>
  <c r="AD73" i="46" s="1"/>
  <c r="Q82" i="46"/>
  <c r="O82" i="46"/>
  <c r="P82" i="46"/>
  <c r="I82" i="46"/>
  <c r="J82" i="46" s="1"/>
  <c r="F83" i="46"/>
  <c r="AA10" i="43"/>
  <c r="Z10" i="43"/>
  <c r="AB12" i="43"/>
  <c r="AC12" i="43" s="1"/>
  <c r="AA12" i="43"/>
  <c r="Z12" i="43"/>
  <c r="AA7" i="43"/>
  <c r="AB7" i="43"/>
  <c r="J10" i="43"/>
  <c r="D36" i="42"/>
  <c r="C36" i="42"/>
  <c r="D34" i="42"/>
  <c r="C34" i="42"/>
  <c r="D31" i="42"/>
  <c r="D32" i="42"/>
  <c r="C31" i="42"/>
  <c r="C32" i="42"/>
  <c r="D30" i="42"/>
  <c r="C30" i="42"/>
  <c r="D28" i="42"/>
  <c r="C28" i="42"/>
  <c r="D27" i="42"/>
  <c r="C27" i="42"/>
  <c r="D25" i="42"/>
  <c r="C25" i="42"/>
  <c r="D23" i="42"/>
  <c r="E36" i="42"/>
  <c r="E34" i="42"/>
  <c r="E30" i="42"/>
  <c r="E27" i="42"/>
  <c r="E25" i="42"/>
  <c r="E22" i="42"/>
  <c r="E17" i="42"/>
  <c r="E15" i="42"/>
  <c r="E12" i="42"/>
  <c r="AD9" i="27"/>
  <c r="AF9" i="27" s="1"/>
  <c r="AC9" i="27"/>
  <c r="AB9" i="27"/>
  <c r="AA9" i="27"/>
  <c r="Z9" i="27"/>
  <c r="Y9" i="27"/>
  <c r="AC11" i="27"/>
  <c r="X11" i="27"/>
  <c r="X9" i="27"/>
  <c r="W9" i="27"/>
  <c r="V10" i="27"/>
  <c r="E56" i="40"/>
  <c r="D56" i="40" s="1"/>
  <c r="E54" i="40"/>
  <c r="C54" i="40" s="1"/>
  <c r="E52" i="40"/>
  <c r="D52" i="40" s="1"/>
  <c r="E50" i="40"/>
  <c r="J56" i="40"/>
  <c r="I56" i="40" s="1"/>
  <c r="J54" i="40"/>
  <c r="I54" i="40" s="1"/>
  <c r="J52" i="40"/>
  <c r="I52" i="40" s="1"/>
  <c r="A52" i="40"/>
  <c r="A53" i="40" s="1"/>
  <c r="B53" i="40" s="1"/>
  <c r="B52" i="40"/>
  <c r="A54" i="40"/>
  <c r="A55" i="40" s="1"/>
  <c r="B55" i="40" s="1"/>
  <c r="B54" i="40"/>
  <c r="A56" i="40"/>
  <c r="A57" i="40" s="1"/>
  <c r="B57" i="40" s="1"/>
  <c r="E48" i="40"/>
  <c r="E46" i="40"/>
  <c r="E42" i="40"/>
  <c r="E40" i="40"/>
  <c r="E38" i="40"/>
  <c r="E32" i="40"/>
  <c r="E27" i="40"/>
  <c r="E25" i="40"/>
  <c r="E16" i="40"/>
  <c r="E14" i="40"/>
  <c r="E12" i="40"/>
  <c r="E10" i="40"/>
  <c r="E7" i="40"/>
  <c r="E67" i="38"/>
  <c r="E64" i="38"/>
  <c r="E62" i="38"/>
  <c r="E59" i="38"/>
  <c r="E57" i="38"/>
  <c r="E49" i="38"/>
  <c r="E44" i="38"/>
  <c r="E40" i="38"/>
  <c r="E34" i="38"/>
  <c r="E30" i="38"/>
  <c r="E26" i="38"/>
  <c r="E15" i="38"/>
  <c r="E13" i="38"/>
  <c r="E11" i="38"/>
  <c r="E9" i="38"/>
  <c r="E7" i="38"/>
  <c r="E58" i="36"/>
  <c r="E55" i="36"/>
  <c r="E53" i="36"/>
  <c r="E17" i="36"/>
  <c r="E15" i="36"/>
  <c r="E13" i="36"/>
  <c r="E11" i="36"/>
  <c r="C9" i="32"/>
  <c r="AZ32" i="65" l="1"/>
  <c r="EF31" i="65"/>
  <c r="EG31" i="65" s="1"/>
  <c r="DD32" i="65"/>
  <c r="DE32" i="65" s="1"/>
  <c r="CB31" i="65"/>
  <c r="CC31" i="65" s="1"/>
  <c r="X32" i="65"/>
  <c r="Y32" i="65" s="1"/>
  <c r="AL32" i="64"/>
  <c r="AZ31" i="62"/>
  <c r="X32" i="62"/>
  <c r="CF30" i="61"/>
  <c r="CG30" i="61" s="1"/>
  <c r="BD31" i="61"/>
  <c r="BE31" i="61" s="1"/>
  <c r="X36" i="61"/>
  <c r="Y36" i="61" s="1"/>
  <c r="CB27" i="72"/>
  <c r="X34" i="72"/>
  <c r="Y33" i="72"/>
  <c r="AI59" i="45"/>
  <c r="AB59" i="45"/>
  <c r="Z59" i="45"/>
  <c r="AA59" i="45" s="1"/>
  <c r="AE59" i="45" s="1"/>
  <c r="AC59" i="45"/>
  <c r="AD59" i="45" s="1"/>
  <c r="AI35" i="45"/>
  <c r="Z35" i="45"/>
  <c r="AA35" i="45" s="1"/>
  <c r="AE35" i="45" s="1"/>
  <c r="AC35" i="45"/>
  <c r="AD35" i="45" s="1"/>
  <c r="AB35" i="45"/>
  <c r="AI61" i="45"/>
  <c r="Z61" i="45"/>
  <c r="AA61" i="45" s="1"/>
  <c r="AE61" i="45" s="1"/>
  <c r="AC61" i="45"/>
  <c r="AD61" i="45" s="1"/>
  <c r="AB61" i="45"/>
  <c r="AJ18" i="45"/>
  <c r="K47" i="45"/>
  <c r="L38" i="45"/>
  <c r="M38" i="45" s="1"/>
  <c r="Q47" i="45"/>
  <c r="O47" i="45"/>
  <c r="P47" i="45"/>
  <c r="L7" i="45"/>
  <c r="M7" i="45" s="1"/>
  <c r="L9" i="45"/>
  <c r="M9" i="45" s="1"/>
  <c r="L11" i="45"/>
  <c r="M11" i="45" s="1"/>
  <c r="L13" i="45"/>
  <c r="M13" i="45" s="1"/>
  <c r="L15" i="45"/>
  <c r="M15" i="45" s="1"/>
  <c r="L17" i="45"/>
  <c r="M17" i="45" s="1"/>
  <c r="L19" i="45"/>
  <c r="M19" i="45" s="1"/>
  <c r="L21" i="45"/>
  <c r="M21" i="45" s="1"/>
  <c r="L23" i="45"/>
  <c r="M23" i="45" s="1"/>
  <c r="L25" i="45"/>
  <c r="M25" i="45" s="1"/>
  <c r="L27" i="45"/>
  <c r="M27" i="45" s="1"/>
  <c r="L29" i="45"/>
  <c r="M29" i="45" s="1"/>
  <c r="L31" i="45"/>
  <c r="M31" i="45" s="1"/>
  <c r="L33" i="45"/>
  <c r="M33" i="45" s="1"/>
  <c r="L35" i="45"/>
  <c r="M35" i="45" s="1"/>
  <c r="L37" i="45"/>
  <c r="M37" i="45" s="1"/>
  <c r="L41" i="45"/>
  <c r="M41" i="45" s="1"/>
  <c r="L43" i="45"/>
  <c r="M43" i="45" s="1"/>
  <c r="L45" i="45"/>
  <c r="M45" i="45" s="1"/>
  <c r="L47" i="45"/>
  <c r="M47" i="45" s="1"/>
  <c r="L8" i="45"/>
  <c r="M8" i="45" s="1"/>
  <c r="L10" i="45"/>
  <c r="M10" i="45" s="1"/>
  <c r="L12" i="45"/>
  <c r="M12" i="45" s="1"/>
  <c r="L14" i="45"/>
  <c r="M14" i="45" s="1"/>
  <c r="L16" i="45"/>
  <c r="M16" i="45" s="1"/>
  <c r="L18" i="45"/>
  <c r="M18" i="45" s="1"/>
  <c r="L20" i="45"/>
  <c r="M20" i="45" s="1"/>
  <c r="L22" i="45"/>
  <c r="M22" i="45" s="1"/>
  <c r="L24" i="45"/>
  <c r="M24" i="45" s="1"/>
  <c r="L26" i="45"/>
  <c r="M26" i="45" s="1"/>
  <c r="L28" i="45"/>
  <c r="M28" i="45" s="1"/>
  <c r="L30" i="45"/>
  <c r="M30" i="45" s="1"/>
  <c r="L32" i="45"/>
  <c r="M32" i="45" s="1"/>
  <c r="L34" i="45"/>
  <c r="M34" i="45" s="1"/>
  <c r="L36" i="45"/>
  <c r="M36" i="45" s="1"/>
  <c r="L42" i="45"/>
  <c r="M42" i="45" s="1"/>
  <c r="L44" i="45"/>
  <c r="M44" i="45" s="1"/>
  <c r="L46" i="45"/>
  <c r="M46" i="45" s="1"/>
  <c r="L6" i="45"/>
  <c r="M6" i="45" s="1"/>
  <c r="L39" i="45"/>
  <c r="M39" i="45" s="1"/>
  <c r="AJ17" i="53"/>
  <c r="AL17" i="49"/>
  <c r="AK17" i="49"/>
  <c r="AJ18" i="49"/>
  <c r="AJ17" i="48"/>
  <c r="AJ17" i="47"/>
  <c r="AM78" i="46"/>
  <c r="AO78" i="46"/>
  <c r="AP78" i="46"/>
  <c r="AN78" i="46"/>
  <c r="AJ79" i="46"/>
  <c r="AL78" i="46"/>
  <c r="AK78" i="46"/>
  <c r="L36" i="46"/>
  <c r="M36" i="46" s="1"/>
  <c r="L38" i="46"/>
  <c r="M38" i="46" s="1"/>
  <c r="L40" i="46"/>
  <c r="M40" i="46" s="1"/>
  <c r="L42" i="46"/>
  <c r="M42" i="46" s="1"/>
  <c r="L44" i="46"/>
  <c r="M44" i="46" s="1"/>
  <c r="L46" i="46"/>
  <c r="M46" i="46" s="1"/>
  <c r="L48" i="46"/>
  <c r="M48" i="46" s="1"/>
  <c r="L50" i="46"/>
  <c r="M50" i="46" s="1"/>
  <c r="L52" i="46"/>
  <c r="M52" i="46" s="1"/>
  <c r="L54" i="46"/>
  <c r="M54" i="46" s="1"/>
  <c r="L56" i="46"/>
  <c r="M56" i="46" s="1"/>
  <c r="L58" i="46"/>
  <c r="M58" i="46" s="1"/>
  <c r="L60" i="46"/>
  <c r="M60" i="46" s="1"/>
  <c r="L62" i="46"/>
  <c r="M62" i="46" s="1"/>
  <c r="L64" i="46"/>
  <c r="M64" i="46" s="1"/>
  <c r="L66" i="46"/>
  <c r="M66" i="46" s="1"/>
  <c r="L68" i="46"/>
  <c r="M68" i="46" s="1"/>
  <c r="L70" i="46"/>
  <c r="M70" i="46" s="1"/>
  <c r="L72" i="46"/>
  <c r="M72" i="46" s="1"/>
  <c r="L74" i="46"/>
  <c r="M74" i="46" s="1"/>
  <c r="L76" i="46"/>
  <c r="M76" i="46" s="1"/>
  <c r="L78" i="46"/>
  <c r="M78" i="46" s="1"/>
  <c r="L80" i="46"/>
  <c r="M80" i="46" s="1"/>
  <c r="L82" i="46"/>
  <c r="M82" i="46" s="1"/>
  <c r="L8" i="46"/>
  <c r="M8" i="46" s="1"/>
  <c r="L10" i="46"/>
  <c r="M10" i="46" s="1"/>
  <c r="L12" i="46"/>
  <c r="M12" i="46" s="1"/>
  <c r="L14" i="46"/>
  <c r="M14" i="46" s="1"/>
  <c r="L16" i="46"/>
  <c r="M16" i="46" s="1"/>
  <c r="L18" i="46"/>
  <c r="M18" i="46" s="1"/>
  <c r="L20" i="46"/>
  <c r="M20" i="46" s="1"/>
  <c r="L22" i="46"/>
  <c r="M22" i="46" s="1"/>
  <c r="L24" i="46"/>
  <c r="M24" i="46" s="1"/>
  <c r="L26" i="46"/>
  <c r="M26" i="46" s="1"/>
  <c r="L28" i="46"/>
  <c r="M28" i="46" s="1"/>
  <c r="L30" i="46"/>
  <c r="M30" i="46" s="1"/>
  <c r="L32" i="46"/>
  <c r="M32" i="46" s="1"/>
  <c r="L34" i="46"/>
  <c r="M34" i="46" s="1"/>
  <c r="L6" i="46"/>
  <c r="M6" i="46" s="1"/>
  <c r="L37" i="46"/>
  <c r="M37" i="46" s="1"/>
  <c r="L39" i="46"/>
  <c r="M39" i="46" s="1"/>
  <c r="L41" i="46"/>
  <c r="M41" i="46" s="1"/>
  <c r="L43" i="46"/>
  <c r="M43" i="46" s="1"/>
  <c r="L45" i="46"/>
  <c r="M45" i="46" s="1"/>
  <c r="L47" i="46"/>
  <c r="M47" i="46" s="1"/>
  <c r="L49" i="46"/>
  <c r="M49" i="46" s="1"/>
  <c r="L51" i="46"/>
  <c r="M51" i="46" s="1"/>
  <c r="L53" i="46"/>
  <c r="M53" i="46" s="1"/>
  <c r="L55" i="46"/>
  <c r="M55" i="46" s="1"/>
  <c r="L57" i="46"/>
  <c r="M57" i="46" s="1"/>
  <c r="L59" i="46"/>
  <c r="M59" i="46" s="1"/>
  <c r="L61" i="46"/>
  <c r="M61" i="46" s="1"/>
  <c r="L63" i="46"/>
  <c r="M63" i="46" s="1"/>
  <c r="L65" i="46"/>
  <c r="M65" i="46" s="1"/>
  <c r="L67" i="46"/>
  <c r="M67" i="46" s="1"/>
  <c r="L69" i="46"/>
  <c r="M69" i="46" s="1"/>
  <c r="L71" i="46"/>
  <c r="M71" i="46" s="1"/>
  <c r="L73" i="46"/>
  <c r="M73" i="46" s="1"/>
  <c r="L75" i="46"/>
  <c r="M75" i="46" s="1"/>
  <c r="L77" i="46"/>
  <c r="M77" i="46" s="1"/>
  <c r="L79" i="46"/>
  <c r="M79" i="46" s="1"/>
  <c r="L81" i="46"/>
  <c r="M81" i="46" s="1"/>
  <c r="L7" i="46"/>
  <c r="M7" i="46" s="1"/>
  <c r="L9" i="46"/>
  <c r="M9" i="46" s="1"/>
  <c r="L11" i="46"/>
  <c r="M11" i="46" s="1"/>
  <c r="L13" i="46"/>
  <c r="M13" i="46" s="1"/>
  <c r="L15" i="46"/>
  <c r="M15" i="46" s="1"/>
  <c r="L17" i="46"/>
  <c r="M17" i="46" s="1"/>
  <c r="L19" i="46"/>
  <c r="M19" i="46" s="1"/>
  <c r="L21" i="46"/>
  <c r="M21" i="46" s="1"/>
  <c r="L23" i="46"/>
  <c r="M23" i="46" s="1"/>
  <c r="L25" i="46"/>
  <c r="M25" i="46" s="1"/>
  <c r="L27" i="46"/>
  <c r="M27" i="46" s="1"/>
  <c r="L29" i="46"/>
  <c r="M29" i="46" s="1"/>
  <c r="L31" i="46"/>
  <c r="M31" i="46" s="1"/>
  <c r="L33" i="46"/>
  <c r="M33" i="46" s="1"/>
  <c r="L35" i="46"/>
  <c r="M35" i="46" s="1"/>
  <c r="K10" i="43"/>
  <c r="AE9" i="27"/>
  <c r="D54" i="40"/>
  <c r="B56" i="40"/>
  <c r="C52" i="40"/>
  <c r="C56" i="40"/>
  <c r="AZ33" i="65" l="1"/>
  <c r="EF32" i="65"/>
  <c r="EG32" i="65" s="1"/>
  <c r="DD33" i="65"/>
  <c r="DE33" i="65" s="1"/>
  <c r="CB32" i="65"/>
  <c r="CC32" i="65" s="1"/>
  <c r="X33" i="65"/>
  <c r="Y33" i="65" s="1"/>
  <c r="AL33" i="64"/>
  <c r="AZ32" i="62"/>
  <c r="X33" i="62"/>
  <c r="CF31" i="61"/>
  <c r="CG31" i="61" s="1"/>
  <c r="BD32" i="61"/>
  <c r="BE32" i="61" s="1"/>
  <c r="X37" i="61"/>
  <c r="Y37" i="61" s="1"/>
  <c r="CB28" i="72"/>
  <c r="X35" i="72"/>
  <c r="Y34" i="72"/>
  <c r="AH61" i="45"/>
  <c r="AG61" i="45"/>
  <c r="AF61" i="45"/>
  <c r="AG35" i="45"/>
  <c r="AF35" i="45"/>
  <c r="AH35" i="45"/>
  <c r="AG59" i="45"/>
  <c r="AF59" i="45"/>
  <c r="AH59" i="45"/>
  <c r="AJ19" i="45"/>
  <c r="AJ18" i="53"/>
  <c r="AL18" i="49"/>
  <c r="AK18" i="49"/>
  <c r="AJ19" i="49"/>
  <c r="AJ18" i="48"/>
  <c r="AJ18" i="47"/>
  <c r="AN79" i="46"/>
  <c r="AM79" i="46"/>
  <c r="AO79" i="46"/>
  <c r="AP79" i="46"/>
  <c r="AL79" i="46"/>
  <c r="AK79" i="46"/>
  <c r="I8" i="40"/>
  <c r="I10" i="40"/>
  <c r="I14" i="40"/>
  <c r="I16" i="40"/>
  <c r="I17" i="40"/>
  <c r="I18" i="40"/>
  <c r="I19" i="40"/>
  <c r="I20" i="40"/>
  <c r="I21" i="40"/>
  <c r="I22" i="40"/>
  <c r="I23" i="40"/>
  <c r="I25" i="40"/>
  <c r="I27" i="40"/>
  <c r="I28" i="40"/>
  <c r="I29" i="40"/>
  <c r="I30" i="40"/>
  <c r="I32" i="40"/>
  <c r="I33" i="40"/>
  <c r="I35" i="40"/>
  <c r="I36" i="40"/>
  <c r="I38" i="40"/>
  <c r="I40" i="40"/>
  <c r="I42" i="40"/>
  <c r="I43" i="40"/>
  <c r="I44" i="40"/>
  <c r="I46" i="40"/>
  <c r="I48" i="40"/>
  <c r="I7" i="40"/>
  <c r="J50" i="40"/>
  <c r="I50" i="40" s="1"/>
  <c r="J34" i="40"/>
  <c r="I34" i="40" s="1"/>
  <c r="J12" i="40"/>
  <c r="I12" i="40" s="1"/>
  <c r="I9" i="38"/>
  <c r="I11" i="38"/>
  <c r="I13" i="38"/>
  <c r="I15" i="38"/>
  <c r="I16" i="38"/>
  <c r="I17" i="38"/>
  <c r="I18" i="38"/>
  <c r="I19" i="38"/>
  <c r="I20" i="38"/>
  <c r="I21" i="38"/>
  <c r="I22" i="38"/>
  <c r="I23" i="38"/>
  <c r="I24" i="38"/>
  <c r="I26" i="38"/>
  <c r="I27" i="38"/>
  <c r="I28" i="38"/>
  <c r="I30" i="38"/>
  <c r="I31" i="38"/>
  <c r="I32" i="38"/>
  <c r="I34" i="38"/>
  <c r="I35" i="38"/>
  <c r="I36" i="38"/>
  <c r="I37" i="38"/>
  <c r="I40" i="38"/>
  <c r="I41" i="38"/>
  <c r="I42" i="38"/>
  <c r="I44" i="38"/>
  <c r="I45" i="38"/>
  <c r="I46" i="38"/>
  <c r="I47" i="38"/>
  <c r="I49" i="38"/>
  <c r="I50" i="38"/>
  <c r="I51" i="38"/>
  <c r="I52" i="38"/>
  <c r="I53" i="38"/>
  <c r="I54" i="38"/>
  <c r="I55" i="38"/>
  <c r="I57" i="38"/>
  <c r="I59" i="38"/>
  <c r="I60" i="38"/>
  <c r="I62" i="38"/>
  <c r="I64" i="38"/>
  <c r="I65" i="38"/>
  <c r="I67" i="38"/>
  <c r="I68" i="38"/>
  <c r="I69" i="38"/>
  <c r="I7" i="38"/>
  <c r="J55" i="38"/>
  <c r="J38" i="38"/>
  <c r="I38" i="38" s="1"/>
  <c r="I31" i="36"/>
  <c r="I9" i="36"/>
  <c r="I11" i="36"/>
  <c r="I13" i="36"/>
  <c r="I14" i="36"/>
  <c r="I17" i="36"/>
  <c r="I18" i="36"/>
  <c r="I19" i="36"/>
  <c r="I20" i="36"/>
  <c r="I21" i="36"/>
  <c r="I22" i="36"/>
  <c r="I23" i="36"/>
  <c r="I24" i="36"/>
  <c r="I25" i="36"/>
  <c r="I27" i="36"/>
  <c r="I28" i="36"/>
  <c r="I29" i="36"/>
  <c r="I30" i="36"/>
  <c r="I32" i="36"/>
  <c r="I33" i="36"/>
  <c r="I34" i="36"/>
  <c r="I36" i="36"/>
  <c r="I38" i="36"/>
  <c r="I42" i="36"/>
  <c r="I43" i="36"/>
  <c r="I45" i="36"/>
  <c r="I47" i="36"/>
  <c r="I49" i="36"/>
  <c r="I51" i="36"/>
  <c r="I55" i="36"/>
  <c r="I58" i="36"/>
  <c r="J56" i="36"/>
  <c r="I56" i="36" s="1"/>
  <c r="J53" i="36"/>
  <c r="I53" i="36" s="1"/>
  <c r="J50" i="36"/>
  <c r="I50" i="36" s="1"/>
  <c r="J41" i="36"/>
  <c r="I41" i="36" s="1"/>
  <c r="J39" i="36"/>
  <c r="I39" i="36" s="1"/>
  <c r="J15" i="36"/>
  <c r="I15" i="36" s="1"/>
  <c r="J7" i="36"/>
  <c r="I7" i="36" s="1"/>
  <c r="A24" i="34"/>
  <c r="A23" i="34"/>
  <c r="A22" i="34"/>
  <c r="A21" i="34"/>
  <c r="A20" i="34"/>
  <c r="A19" i="34"/>
  <c r="A17" i="34"/>
  <c r="A16" i="34"/>
  <c r="A14" i="34"/>
  <c r="A13" i="34"/>
  <c r="A9" i="34"/>
  <c r="A8" i="34"/>
  <c r="I8" i="34"/>
  <c r="I10" i="34"/>
  <c r="I12" i="34"/>
  <c r="I13" i="34"/>
  <c r="I15" i="34"/>
  <c r="I16" i="34"/>
  <c r="I18" i="34"/>
  <c r="I19" i="34"/>
  <c r="I20" i="34"/>
  <c r="I21" i="34"/>
  <c r="I22" i="34"/>
  <c r="I23" i="34"/>
  <c r="I25" i="34"/>
  <c r="I27" i="34"/>
  <c r="I29" i="34"/>
  <c r="I31" i="34"/>
  <c r="I33" i="34"/>
  <c r="I35" i="34"/>
  <c r="I7" i="34"/>
  <c r="J35" i="34"/>
  <c r="J31" i="34"/>
  <c r="J29" i="34"/>
  <c r="J23" i="34"/>
  <c r="J21" i="34"/>
  <c r="J15" i="34"/>
  <c r="J12" i="34"/>
  <c r="J10" i="34"/>
  <c r="J7" i="34"/>
  <c r="A13" i="32"/>
  <c r="A14" i="32" s="1"/>
  <c r="A15" i="32" s="1"/>
  <c r="A16" i="32" s="1"/>
  <c r="A17" i="32" s="1"/>
  <c r="AZ34" i="65" l="1"/>
  <c r="EF33" i="65"/>
  <c r="EG33" i="65" s="1"/>
  <c r="DD34" i="65"/>
  <c r="DE34" i="65" s="1"/>
  <c r="CB33" i="65"/>
  <c r="CC33" i="65" s="1"/>
  <c r="X34" i="65"/>
  <c r="Y34" i="65" s="1"/>
  <c r="AL34" i="64"/>
  <c r="AZ33" i="62"/>
  <c r="X34" i="62"/>
  <c r="CF32" i="61"/>
  <c r="CG32" i="61" s="1"/>
  <c r="BD33" i="61"/>
  <c r="BE33" i="61" s="1"/>
  <c r="X38" i="61"/>
  <c r="Y38" i="61" s="1"/>
  <c r="CB29" i="72"/>
  <c r="X36" i="72"/>
  <c r="Y35" i="72"/>
  <c r="AJ20" i="45"/>
  <c r="AJ19" i="53"/>
  <c r="AK19" i="49"/>
  <c r="AL19" i="49"/>
  <c r="AJ20" i="49"/>
  <c r="AJ19" i="48"/>
  <c r="AJ19" i="47"/>
  <c r="AC89" i="46"/>
  <c r="AD89" i="46" s="1"/>
  <c r="Z89" i="46"/>
  <c r="AA89" i="46" s="1"/>
  <c r="AE89" i="46" s="1"/>
  <c r="AB89" i="46"/>
  <c r="I22" i="32"/>
  <c r="I23" i="32"/>
  <c r="I24" i="32"/>
  <c r="I25" i="32"/>
  <c r="I26" i="32"/>
  <c r="I30" i="32"/>
  <c r="I32" i="32"/>
  <c r="I33" i="32"/>
  <c r="I36" i="32"/>
  <c r="I11" i="32"/>
  <c r="I13" i="32"/>
  <c r="I14" i="32"/>
  <c r="I15" i="32"/>
  <c r="I16" i="32"/>
  <c r="I18" i="32"/>
  <c r="I20" i="32"/>
  <c r="I8" i="32"/>
  <c r="I9" i="32"/>
  <c r="I7" i="32"/>
  <c r="J35" i="32"/>
  <c r="I35" i="32" s="1"/>
  <c r="J33" i="32"/>
  <c r="J28" i="32"/>
  <c r="I28" i="32" s="1"/>
  <c r="AZ35" i="65" l="1"/>
  <c r="EF34" i="65"/>
  <c r="EG34" i="65" s="1"/>
  <c r="DD35" i="65"/>
  <c r="DE35" i="65" s="1"/>
  <c r="CB34" i="65"/>
  <c r="CC34" i="65" s="1"/>
  <c r="X35" i="65"/>
  <c r="Y35" i="65" s="1"/>
  <c r="AL35" i="64"/>
  <c r="AZ34" i="62"/>
  <c r="X35" i="62"/>
  <c r="CF33" i="61"/>
  <c r="CG33" i="61" s="1"/>
  <c r="BD34" i="61"/>
  <c r="BE34" i="61" s="1"/>
  <c r="X39" i="61"/>
  <c r="Y39" i="61" s="1"/>
  <c r="CB30" i="72"/>
  <c r="X37" i="72"/>
  <c r="Y36" i="72"/>
  <c r="AJ21" i="45"/>
  <c r="AJ20" i="53"/>
  <c r="AL20" i="49"/>
  <c r="AK20" i="49"/>
  <c r="AJ21" i="49"/>
  <c r="AJ20" i="48"/>
  <c r="AJ20" i="47"/>
  <c r="AH89" i="46"/>
  <c r="AG89" i="46"/>
  <c r="AF89" i="46"/>
  <c r="A9" i="42"/>
  <c r="A12" i="42"/>
  <c r="A15" i="42"/>
  <c r="A16" i="42" s="1"/>
  <c r="A17" i="42"/>
  <c r="A22" i="42"/>
  <c r="A25" i="42"/>
  <c r="A27" i="42"/>
  <c r="A30" i="42"/>
  <c r="A34" i="42"/>
  <c r="A36" i="42"/>
  <c r="A7" i="42"/>
  <c r="A10" i="40"/>
  <c r="A12" i="40"/>
  <c r="A14" i="40"/>
  <c r="A16" i="40"/>
  <c r="A25" i="40"/>
  <c r="A27" i="40"/>
  <c r="A32" i="40"/>
  <c r="A38" i="40"/>
  <c r="A40" i="40"/>
  <c r="A42" i="40"/>
  <c r="A46" i="40"/>
  <c r="A48" i="40"/>
  <c r="A50" i="40"/>
  <c r="A7" i="40"/>
  <c r="A7" i="38"/>
  <c r="A64" i="38"/>
  <c r="A26" i="38"/>
  <c r="A30" i="38"/>
  <c r="A34" i="38"/>
  <c r="A40" i="38"/>
  <c r="A44" i="38"/>
  <c r="A49" i="38"/>
  <c r="A57" i="38"/>
  <c r="A59" i="38"/>
  <c r="A62" i="38"/>
  <c r="A67" i="38"/>
  <c r="A9" i="38"/>
  <c r="A11" i="38"/>
  <c r="A13" i="38"/>
  <c r="A15" i="38"/>
  <c r="B7" i="38"/>
  <c r="A9" i="36"/>
  <c r="A11" i="36"/>
  <c r="A13" i="36"/>
  <c r="A15" i="36"/>
  <c r="A17" i="36"/>
  <c r="A27" i="36"/>
  <c r="A36" i="36"/>
  <c r="A38" i="36"/>
  <c r="A41" i="36"/>
  <c r="A45" i="36"/>
  <c r="A47" i="36"/>
  <c r="A49" i="36"/>
  <c r="A53" i="36"/>
  <c r="A55" i="36"/>
  <c r="A58" i="36"/>
  <c r="A7" i="36"/>
  <c r="B8" i="34"/>
  <c r="A10" i="34"/>
  <c r="A11" i="34" s="1"/>
  <c r="B11" i="34" s="1"/>
  <c r="A12" i="34"/>
  <c r="B12" i="34" s="1"/>
  <c r="B14" i="34"/>
  <c r="A15" i="34"/>
  <c r="B15" i="34" s="1"/>
  <c r="B17" i="34"/>
  <c r="A18" i="34"/>
  <c r="B18" i="34" s="1"/>
  <c r="B19" i="34"/>
  <c r="B20" i="34"/>
  <c r="B21" i="34"/>
  <c r="B22" i="34"/>
  <c r="B24" i="34"/>
  <c r="A25" i="34"/>
  <c r="A26" i="34" s="1"/>
  <c r="B26" i="34" s="1"/>
  <c r="A27" i="34"/>
  <c r="A28" i="34" s="1"/>
  <c r="B28" i="34" s="1"/>
  <c r="A29" i="34"/>
  <c r="A30" i="34" s="1"/>
  <c r="B30" i="34" s="1"/>
  <c r="A31" i="34"/>
  <c r="A32" i="34" s="1"/>
  <c r="B32" i="34" s="1"/>
  <c r="A33" i="34"/>
  <c r="A34" i="34" s="1"/>
  <c r="B34" i="34" s="1"/>
  <c r="A35" i="34"/>
  <c r="A36" i="34" s="1"/>
  <c r="B36" i="34" s="1"/>
  <c r="A7" i="34"/>
  <c r="B7" i="34" s="1"/>
  <c r="AZ36" i="65" l="1"/>
  <c r="EF35" i="65"/>
  <c r="EG35" i="65" s="1"/>
  <c r="DD36" i="65"/>
  <c r="DE36" i="65" s="1"/>
  <c r="CB35" i="65"/>
  <c r="CC35" i="65" s="1"/>
  <c r="X36" i="65"/>
  <c r="Y36" i="65" s="1"/>
  <c r="AL36" i="64"/>
  <c r="AM36" i="64" s="1"/>
  <c r="AZ35" i="62"/>
  <c r="X36" i="62"/>
  <c r="CF34" i="61"/>
  <c r="CG34" i="61" s="1"/>
  <c r="BD35" i="61"/>
  <c r="BE35" i="61" s="1"/>
  <c r="X40" i="61"/>
  <c r="Y40" i="61" s="1"/>
  <c r="CB31" i="72"/>
  <c r="X38" i="72"/>
  <c r="Y37" i="72"/>
  <c r="AJ22" i="45"/>
  <c r="AJ21" i="53"/>
  <c r="AL21" i="49"/>
  <c r="AK21" i="49"/>
  <c r="AJ22" i="49"/>
  <c r="AJ21" i="48"/>
  <c r="AJ21" i="47"/>
  <c r="AI94" i="46"/>
  <c r="AB94" i="46"/>
  <c r="AC94" i="46"/>
  <c r="AD94" i="46" s="1"/>
  <c r="Z94" i="46"/>
  <c r="AA94" i="46" s="1"/>
  <c r="AE94" i="46" s="1"/>
  <c r="C17" i="42"/>
  <c r="D17" i="42"/>
  <c r="D22" i="42"/>
  <c r="C22" i="42"/>
  <c r="B7" i="42"/>
  <c r="B30" i="42"/>
  <c r="A31" i="42"/>
  <c r="B34" i="42"/>
  <c r="B22" i="42"/>
  <c r="A23" i="42"/>
  <c r="C23" i="42" s="1"/>
  <c r="B17" i="42"/>
  <c r="A18" i="42"/>
  <c r="B25" i="42"/>
  <c r="B36" i="42"/>
  <c r="B12" i="42"/>
  <c r="A13" i="42"/>
  <c r="B13" i="42" s="1"/>
  <c r="B27" i="42"/>
  <c r="A28" i="42"/>
  <c r="A29" i="42" s="1"/>
  <c r="B16" i="42"/>
  <c r="B9" i="42"/>
  <c r="A10" i="42"/>
  <c r="A11" i="42" s="1"/>
  <c r="B11" i="42" s="1"/>
  <c r="B46" i="40"/>
  <c r="C46" i="40"/>
  <c r="D46" i="40"/>
  <c r="B40" i="40"/>
  <c r="C40" i="40"/>
  <c r="D40" i="40"/>
  <c r="B10" i="40"/>
  <c r="C10" i="40"/>
  <c r="D10" i="40"/>
  <c r="B7" i="40"/>
  <c r="C7" i="40"/>
  <c r="D7" i="40"/>
  <c r="A8" i="40"/>
  <c r="B38" i="40"/>
  <c r="D38" i="40"/>
  <c r="C38" i="40"/>
  <c r="B16" i="40"/>
  <c r="C16" i="40"/>
  <c r="D16" i="40"/>
  <c r="A17" i="40"/>
  <c r="B50" i="40"/>
  <c r="C50" i="40"/>
  <c r="D50" i="40"/>
  <c r="B32" i="40"/>
  <c r="C32" i="40"/>
  <c r="D32" i="40"/>
  <c r="A33" i="40"/>
  <c r="B27" i="40"/>
  <c r="C27" i="40"/>
  <c r="D27" i="40"/>
  <c r="A28" i="40"/>
  <c r="B14" i="40"/>
  <c r="D14" i="40"/>
  <c r="C14" i="40"/>
  <c r="B48" i="40"/>
  <c r="C48" i="40"/>
  <c r="D48" i="40"/>
  <c r="B42" i="40"/>
  <c r="D42" i="40"/>
  <c r="C42" i="40"/>
  <c r="A43" i="40"/>
  <c r="A26" i="40"/>
  <c r="B26" i="40" s="1"/>
  <c r="D25" i="40"/>
  <c r="C25" i="40"/>
  <c r="B12" i="40"/>
  <c r="C12" i="40"/>
  <c r="D12" i="40"/>
  <c r="B9" i="38"/>
  <c r="D9" i="38"/>
  <c r="C9" i="38"/>
  <c r="B57" i="38"/>
  <c r="D57" i="38"/>
  <c r="C57" i="38"/>
  <c r="D34" i="38"/>
  <c r="C34" i="38"/>
  <c r="D7" i="38"/>
  <c r="C7" i="38"/>
  <c r="C15" i="38"/>
  <c r="D15" i="38"/>
  <c r="D67" i="38"/>
  <c r="C67" i="38"/>
  <c r="C49" i="38"/>
  <c r="D49" i="38"/>
  <c r="D30" i="38"/>
  <c r="C30" i="38"/>
  <c r="B13" i="38"/>
  <c r="C13" i="38"/>
  <c r="D13" i="38"/>
  <c r="B62" i="38"/>
  <c r="D62" i="38"/>
  <c r="C62" i="38"/>
  <c r="C44" i="38"/>
  <c r="D44" i="38"/>
  <c r="D26" i="38"/>
  <c r="C26" i="38"/>
  <c r="B11" i="38"/>
  <c r="D11" i="38"/>
  <c r="C11" i="38"/>
  <c r="D59" i="38"/>
  <c r="C59" i="38"/>
  <c r="C40" i="38"/>
  <c r="D40" i="38"/>
  <c r="C64" i="38"/>
  <c r="D64" i="38"/>
  <c r="B7" i="36"/>
  <c r="B47" i="36"/>
  <c r="B13" i="36"/>
  <c r="D13" i="36"/>
  <c r="C13" i="36"/>
  <c r="C55" i="36"/>
  <c r="D55" i="36"/>
  <c r="B45" i="36"/>
  <c r="B11" i="36"/>
  <c r="C11" i="36"/>
  <c r="D11" i="36"/>
  <c r="B15" i="36"/>
  <c r="D15" i="36"/>
  <c r="C15" i="36"/>
  <c r="B58" i="36"/>
  <c r="B36" i="36"/>
  <c r="B53" i="36"/>
  <c r="C53" i="36"/>
  <c r="D53" i="36"/>
  <c r="C17" i="36"/>
  <c r="D17" i="36"/>
  <c r="B9" i="36"/>
  <c r="A8" i="38"/>
  <c r="B8" i="38" s="1"/>
  <c r="B67" i="38"/>
  <c r="A68" i="38"/>
  <c r="B59" i="38"/>
  <c r="A60" i="38"/>
  <c r="B15" i="38"/>
  <c r="A16" i="38"/>
  <c r="B26" i="38"/>
  <c r="A27" i="38"/>
  <c r="B40" i="38"/>
  <c r="A41" i="38"/>
  <c r="B30" i="38"/>
  <c r="A31" i="38"/>
  <c r="B49" i="38"/>
  <c r="A50" i="38"/>
  <c r="B44" i="38"/>
  <c r="A45" i="38"/>
  <c r="B34" i="38"/>
  <c r="A35" i="38"/>
  <c r="A12" i="38"/>
  <c r="B12" i="38" s="1"/>
  <c r="B64" i="38"/>
  <c r="A65" i="38"/>
  <c r="B41" i="36"/>
  <c r="A42" i="36"/>
  <c r="B38" i="36"/>
  <c r="A39" i="36"/>
  <c r="B27" i="36"/>
  <c r="A28" i="36"/>
  <c r="B55" i="36"/>
  <c r="A56" i="36"/>
  <c r="B49" i="36"/>
  <c r="A50" i="36"/>
  <c r="B17" i="36"/>
  <c r="A18" i="36"/>
  <c r="A8" i="42"/>
  <c r="A26" i="42"/>
  <c r="B26" i="42" s="1"/>
  <c r="A37" i="42"/>
  <c r="B37" i="42" s="1"/>
  <c r="B23" i="42"/>
  <c r="B15" i="42"/>
  <c r="A35" i="42"/>
  <c r="A11" i="40"/>
  <c r="B11" i="40" s="1"/>
  <c r="A39" i="40"/>
  <c r="B39" i="40" s="1"/>
  <c r="A49" i="40"/>
  <c r="B49" i="40" s="1"/>
  <c r="B25" i="40"/>
  <c r="A13" i="40"/>
  <c r="B13" i="40" s="1"/>
  <c r="A15" i="40"/>
  <c r="B15" i="40" s="1"/>
  <c r="A41" i="40"/>
  <c r="B41" i="40" s="1"/>
  <c r="A47" i="40"/>
  <c r="B47" i="40" s="1"/>
  <c r="A51" i="40"/>
  <c r="B51" i="40" s="1"/>
  <c r="A14" i="38"/>
  <c r="B14" i="38" s="1"/>
  <c r="A58" i="38"/>
  <c r="B58" i="38" s="1"/>
  <c r="A10" i="38"/>
  <c r="B10" i="38" s="1"/>
  <c r="A63" i="38"/>
  <c r="B63" i="38" s="1"/>
  <c r="A8" i="36"/>
  <c r="B8" i="36" s="1"/>
  <c r="A12" i="36"/>
  <c r="B12" i="36" s="1"/>
  <c r="A16" i="36"/>
  <c r="B16" i="36" s="1"/>
  <c r="A46" i="36"/>
  <c r="B46" i="36" s="1"/>
  <c r="A10" i="36"/>
  <c r="B10" i="36" s="1"/>
  <c r="A14" i="36"/>
  <c r="B14" i="36" s="1"/>
  <c r="A37" i="36"/>
  <c r="B37" i="36" s="1"/>
  <c r="A48" i="36"/>
  <c r="B48" i="36" s="1"/>
  <c r="A54" i="36"/>
  <c r="B54" i="36" s="1"/>
  <c r="A59" i="36"/>
  <c r="B59" i="36" s="1"/>
  <c r="B35" i="34"/>
  <c r="B31" i="34"/>
  <c r="B27" i="34"/>
  <c r="B23" i="34"/>
  <c r="B16" i="34"/>
  <c r="B13" i="34"/>
  <c r="B10" i="34"/>
  <c r="B9" i="34"/>
  <c r="B33" i="34"/>
  <c r="B29" i="34"/>
  <c r="B25" i="34"/>
  <c r="AD56" i="25"/>
  <c r="AD54" i="25"/>
  <c r="AD52" i="25"/>
  <c r="AF52" i="25" s="1"/>
  <c r="AD48" i="25"/>
  <c r="AF48" i="25" s="1"/>
  <c r="AD46" i="25"/>
  <c r="AF46" i="25" s="1"/>
  <c r="AD44" i="25"/>
  <c r="AF44" i="25" s="1"/>
  <c r="AD38" i="25"/>
  <c r="AF38" i="25" s="1"/>
  <c r="AD33" i="25"/>
  <c r="AF33" i="25" s="1"/>
  <c r="AD31" i="25"/>
  <c r="AF31" i="25" s="1"/>
  <c r="AD22" i="25"/>
  <c r="AD20" i="25"/>
  <c r="AF20" i="25" s="1"/>
  <c r="AD18" i="25"/>
  <c r="AF18" i="25" s="1"/>
  <c r="AD16" i="25"/>
  <c r="AF16" i="25" s="1"/>
  <c r="AD14" i="25"/>
  <c r="AF14" i="25" s="1"/>
  <c r="AD12" i="25"/>
  <c r="AF12" i="25" s="1"/>
  <c r="AD9" i="25"/>
  <c r="AD7" i="25"/>
  <c r="AD68" i="23"/>
  <c r="AD65" i="23"/>
  <c r="AD63" i="23"/>
  <c r="AD61" i="23"/>
  <c r="AD59" i="23"/>
  <c r="AD57" i="23"/>
  <c r="AD55" i="23"/>
  <c r="AD47" i="23"/>
  <c r="AD42" i="23"/>
  <c r="AD38" i="23"/>
  <c r="AD32" i="23"/>
  <c r="AD28" i="23"/>
  <c r="AD24" i="23"/>
  <c r="AD13" i="23"/>
  <c r="AD9" i="23"/>
  <c r="AD6" i="23"/>
  <c r="V36" i="27"/>
  <c r="V33" i="27"/>
  <c r="V31" i="27"/>
  <c r="V29" i="27"/>
  <c r="V25" i="27"/>
  <c r="V20" i="27"/>
  <c r="V17" i="27"/>
  <c r="V12" i="27"/>
  <c r="V7" i="27"/>
  <c r="V22" i="27"/>
  <c r="L7" i="27"/>
  <c r="L8" i="27"/>
  <c r="L11" i="27"/>
  <c r="L12" i="27"/>
  <c r="L15" i="27"/>
  <c r="L16" i="27"/>
  <c r="L19" i="27"/>
  <c r="L20" i="27"/>
  <c r="L23" i="27"/>
  <c r="L24" i="27"/>
  <c r="F26" i="27"/>
  <c r="L9" i="27" s="1"/>
  <c r="AG56" i="25"/>
  <c r="AG54" i="25"/>
  <c r="AG52" i="25"/>
  <c r="AG48" i="25"/>
  <c r="AG46" i="25"/>
  <c r="AG44" i="25"/>
  <c r="AG38" i="25"/>
  <c r="AG33" i="25"/>
  <c r="AG31" i="25"/>
  <c r="AG22" i="25"/>
  <c r="AG20" i="25"/>
  <c r="AG18" i="25"/>
  <c r="AG16" i="25"/>
  <c r="AG14" i="25"/>
  <c r="AG12" i="25"/>
  <c r="AG9" i="25"/>
  <c r="AG7" i="25"/>
  <c r="AF56" i="25"/>
  <c r="AF54" i="25"/>
  <c r="AF22" i="25"/>
  <c r="AF9" i="25"/>
  <c r="AF7" i="25"/>
  <c r="AE56" i="25"/>
  <c r="AE54" i="25"/>
  <c r="AE52" i="25"/>
  <c r="AE48" i="25"/>
  <c r="AE46" i="25"/>
  <c r="AE44" i="25"/>
  <c r="AE38" i="25"/>
  <c r="AE33" i="25"/>
  <c r="AE31" i="25"/>
  <c r="AE22" i="25"/>
  <c r="AE20" i="25"/>
  <c r="AE16" i="25"/>
  <c r="AE12" i="25"/>
  <c r="AE9" i="25"/>
  <c r="AE7" i="25"/>
  <c r="AC56" i="25"/>
  <c r="AC54" i="25"/>
  <c r="AC52" i="25"/>
  <c r="AC48" i="25"/>
  <c r="AC46" i="25"/>
  <c r="AC44" i="25"/>
  <c r="AC38" i="25"/>
  <c r="AC33" i="25"/>
  <c r="AC31" i="25"/>
  <c r="AC22" i="25"/>
  <c r="AC20" i="25"/>
  <c r="AC18" i="25"/>
  <c r="AC16" i="25"/>
  <c r="AC14" i="25"/>
  <c r="AC12" i="25"/>
  <c r="AC9" i="25"/>
  <c r="AC7" i="25"/>
  <c r="AB56" i="25"/>
  <c r="AB54" i="25"/>
  <c r="AB52" i="25"/>
  <c r="AB48" i="25"/>
  <c r="AB46" i="25"/>
  <c r="AB44" i="25"/>
  <c r="AB38" i="25"/>
  <c r="AB33" i="25"/>
  <c r="AB31" i="25"/>
  <c r="AB22" i="25"/>
  <c r="AB20" i="25"/>
  <c r="AB18" i="25"/>
  <c r="AB16" i="25"/>
  <c r="AB14" i="25"/>
  <c r="AB12" i="25"/>
  <c r="AB9" i="25"/>
  <c r="AB7" i="25"/>
  <c r="V57" i="25"/>
  <c r="V55" i="25"/>
  <c r="V53" i="25"/>
  <c r="V49" i="25"/>
  <c r="V47" i="25"/>
  <c r="V45" i="25"/>
  <c r="V39" i="25"/>
  <c r="V34" i="25"/>
  <c r="V32" i="25"/>
  <c r="V23" i="25"/>
  <c r="V21" i="25"/>
  <c r="V19" i="25"/>
  <c r="V17" i="25"/>
  <c r="V15" i="25"/>
  <c r="V13" i="25"/>
  <c r="V8" i="25"/>
  <c r="V69" i="23"/>
  <c r="V66" i="23"/>
  <c r="V64" i="23"/>
  <c r="V62" i="23"/>
  <c r="V60" i="23"/>
  <c r="V58" i="23"/>
  <c r="V48" i="23"/>
  <c r="V43" i="23"/>
  <c r="V33" i="23"/>
  <c r="V29" i="23"/>
  <c r="V25" i="23"/>
  <c r="V14" i="23"/>
  <c r="V10" i="23"/>
  <c r="V7" i="23"/>
  <c r="AD28" i="21"/>
  <c r="AE28" i="21" s="1"/>
  <c r="AD17" i="21"/>
  <c r="AE17" i="21" s="1"/>
  <c r="AD15" i="21"/>
  <c r="AD13" i="21"/>
  <c r="AE13" i="21" s="1"/>
  <c r="AD11" i="21"/>
  <c r="AD9" i="21"/>
  <c r="AD6" i="21"/>
  <c r="AF6" i="21" s="1"/>
  <c r="N9" i="21"/>
  <c r="N7" i="21"/>
  <c r="AG28" i="21"/>
  <c r="AG17" i="21"/>
  <c r="AG15" i="21"/>
  <c r="AG13" i="21"/>
  <c r="AG11" i="21"/>
  <c r="AG9" i="21"/>
  <c r="AG6" i="21"/>
  <c r="AF28" i="21"/>
  <c r="AF17" i="21"/>
  <c r="AF15" i="21"/>
  <c r="AF13" i="21"/>
  <c r="AF11" i="21"/>
  <c r="AF9" i="21"/>
  <c r="AE15" i="21"/>
  <c r="AE11" i="21"/>
  <c r="AE9" i="21"/>
  <c r="AE6" i="21"/>
  <c r="AC28" i="21"/>
  <c r="AC17" i="21"/>
  <c r="AC15" i="21"/>
  <c r="AC13" i="21"/>
  <c r="AC11" i="21"/>
  <c r="AC9" i="21"/>
  <c r="AC6" i="21"/>
  <c r="AB28" i="21"/>
  <c r="AB17" i="21"/>
  <c r="AB15" i="21"/>
  <c r="AB13" i="21"/>
  <c r="AB11" i="21"/>
  <c r="AB9" i="21"/>
  <c r="AB6" i="21"/>
  <c r="V58" i="21"/>
  <c r="V54" i="21"/>
  <c r="V52" i="21"/>
  <c r="V50" i="21"/>
  <c r="V48" i="21"/>
  <c r="V46" i="21"/>
  <c r="V42" i="21"/>
  <c r="V39" i="21"/>
  <c r="V37" i="21"/>
  <c r="V29" i="21"/>
  <c r="V18" i="21"/>
  <c r="V16" i="21"/>
  <c r="V14" i="21"/>
  <c r="V12" i="21"/>
  <c r="V10" i="21"/>
  <c r="V7" i="21"/>
  <c r="AA28" i="21"/>
  <c r="AA17" i="21"/>
  <c r="AA15" i="21"/>
  <c r="AA13" i="21"/>
  <c r="AA11" i="21"/>
  <c r="AA9" i="21"/>
  <c r="AA6" i="21"/>
  <c r="Q9" i="21"/>
  <c r="Q7" i="21"/>
  <c r="P9" i="21"/>
  <c r="P7" i="21"/>
  <c r="O9" i="21"/>
  <c r="O7" i="21"/>
  <c r="K9" i="21"/>
  <c r="K7" i="21"/>
  <c r="AZ37" i="65" l="1"/>
  <c r="EF36" i="65"/>
  <c r="EG36" i="65" s="1"/>
  <c r="DD37" i="65"/>
  <c r="DE37" i="65" s="1"/>
  <c r="CB36" i="65"/>
  <c r="CC36" i="65" s="1"/>
  <c r="X37" i="65"/>
  <c r="Y37" i="65" s="1"/>
  <c r="AL37" i="64"/>
  <c r="AM37" i="64" s="1"/>
  <c r="AZ36" i="62"/>
  <c r="X37" i="62"/>
  <c r="CF35" i="61"/>
  <c r="CG35" i="61" s="1"/>
  <c r="BD36" i="61"/>
  <c r="BE36" i="61" s="1"/>
  <c r="X41" i="61"/>
  <c r="Y41" i="61" s="1"/>
  <c r="CB32" i="72"/>
  <c r="X39" i="72"/>
  <c r="Y38" i="72"/>
  <c r="AJ23" i="45"/>
  <c r="AJ22" i="53"/>
  <c r="AL22" i="49"/>
  <c r="AK22" i="49"/>
  <c r="AJ23" i="49"/>
  <c r="AJ22" i="48"/>
  <c r="AJ22" i="47"/>
  <c r="AG94" i="46"/>
  <c r="AH94" i="46"/>
  <c r="AF94" i="46"/>
  <c r="C18" i="42"/>
  <c r="D18" i="42"/>
  <c r="L6" i="27"/>
  <c r="L22" i="27"/>
  <c r="L18" i="27"/>
  <c r="L14" i="27"/>
  <c r="L10" i="27"/>
  <c r="L25" i="27"/>
  <c r="L21" i="27"/>
  <c r="L17" i="27"/>
  <c r="L13" i="27"/>
  <c r="B29" i="42"/>
  <c r="B35" i="42"/>
  <c r="B8" i="42"/>
  <c r="A24" i="42"/>
  <c r="B24" i="42" s="1"/>
  <c r="B28" i="42"/>
  <c r="A19" i="42"/>
  <c r="B18" i="42"/>
  <c r="A32" i="42"/>
  <c r="B31" i="42"/>
  <c r="B10" i="42"/>
  <c r="A14" i="42"/>
  <c r="D33" i="40"/>
  <c r="C33" i="40"/>
  <c r="B33" i="40"/>
  <c r="D17" i="40"/>
  <c r="C17" i="40"/>
  <c r="B17" i="40"/>
  <c r="A18" i="40"/>
  <c r="C28" i="40"/>
  <c r="D28" i="40"/>
  <c r="A29" i="40"/>
  <c r="B28" i="40"/>
  <c r="D8" i="40"/>
  <c r="C8" i="40"/>
  <c r="B8" i="40"/>
  <c r="D43" i="40"/>
  <c r="C43" i="40"/>
  <c r="A44" i="40"/>
  <c r="B43" i="40"/>
  <c r="A34" i="40"/>
  <c r="A9" i="40"/>
  <c r="B9" i="40" s="1"/>
  <c r="C45" i="38"/>
  <c r="D45" i="38"/>
  <c r="D27" i="38"/>
  <c r="C27" i="38"/>
  <c r="D35" i="38"/>
  <c r="C35" i="38"/>
  <c r="B50" i="38"/>
  <c r="C50" i="38"/>
  <c r="D50" i="38"/>
  <c r="D41" i="38"/>
  <c r="C41" i="38"/>
  <c r="B16" i="38"/>
  <c r="D16" i="38"/>
  <c r="C16" i="38"/>
  <c r="C68" i="38"/>
  <c r="D68" i="38"/>
  <c r="D31" i="38"/>
  <c r="C31" i="38"/>
  <c r="B60" i="38"/>
  <c r="D60" i="38"/>
  <c r="C60" i="38"/>
  <c r="B65" i="38"/>
  <c r="C65" i="38"/>
  <c r="D65" i="38"/>
  <c r="C18" i="36"/>
  <c r="D18" i="36"/>
  <c r="B56" i="36"/>
  <c r="D56" i="36"/>
  <c r="C56" i="36"/>
  <c r="B28" i="36"/>
  <c r="B39" i="36"/>
  <c r="A66" i="38"/>
  <c r="B66" i="38" s="1"/>
  <c r="A17" i="38"/>
  <c r="A61" i="38"/>
  <c r="B61" i="38" s="1"/>
  <c r="A51" i="38"/>
  <c r="A36" i="38"/>
  <c r="B35" i="38"/>
  <c r="A46" i="38"/>
  <c r="B45" i="38"/>
  <c r="A28" i="38"/>
  <c r="B27" i="38"/>
  <c r="A69" i="38"/>
  <c r="B68" i="38"/>
  <c r="A32" i="38"/>
  <c r="B31" i="38"/>
  <c r="A42" i="38"/>
  <c r="B41" i="38"/>
  <c r="A57" i="36"/>
  <c r="B57" i="36" s="1"/>
  <c r="A51" i="36"/>
  <c r="B50" i="36"/>
  <c r="A29" i="36"/>
  <c r="A43" i="36"/>
  <c r="B42" i="36"/>
  <c r="A19" i="36"/>
  <c r="B18" i="36"/>
  <c r="A40" i="36"/>
  <c r="B40" i="36" s="1"/>
  <c r="AE18" i="25"/>
  <c r="AE14" i="25"/>
  <c r="V35" i="19"/>
  <c r="V33" i="19"/>
  <c r="V30" i="19"/>
  <c r="V13" i="19"/>
  <c r="V11" i="19"/>
  <c r="V9" i="19"/>
  <c r="V7" i="19"/>
  <c r="AZ38" i="65" l="1"/>
  <c r="EF37" i="65"/>
  <c r="EG37" i="65" s="1"/>
  <c r="DD38" i="65"/>
  <c r="DE38" i="65" s="1"/>
  <c r="CB37" i="65"/>
  <c r="CC37" i="65" s="1"/>
  <c r="X38" i="65"/>
  <c r="Y38" i="65" s="1"/>
  <c r="AL38" i="64"/>
  <c r="AM38" i="64" s="1"/>
  <c r="AZ37" i="62"/>
  <c r="X38" i="62"/>
  <c r="CF36" i="61"/>
  <c r="CG36" i="61" s="1"/>
  <c r="BD37" i="61"/>
  <c r="BE37" i="61" s="1"/>
  <c r="X42" i="61"/>
  <c r="Y42" i="61" s="1"/>
  <c r="CB33" i="72"/>
  <c r="X40" i="72"/>
  <c r="Y39" i="72"/>
  <c r="AJ24" i="45"/>
  <c r="AJ23" i="53"/>
  <c r="AK23" i="49"/>
  <c r="AL23" i="49"/>
  <c r="AJ24" i="49"/>
  <c r="AJ23" i="48"/>
  <c r="AJ23" i="47"/>
  <c r="W105" i="46"/>
  <c r="AC104" i="46" s="1"/>
  <c r="AD104" i="46" s="1"/>
  <c r="D19" i="42"/>
  <c r="C19" i="42"/>
  <c r="A20" i="42"/>
  <c r="B19" i="42"/>
  <c r="A33" i="42"/>
  <c r="B32" i="42"/>
  <c r="B14" i="42"/>
  <c r="C34" i="40"/>
  <c r="D34" i="40"/>
  <c r="B34" i="40"/>
  <c r="A35" i="40"/>
  <c r="C29" i="40"/>
  <c r="D29" i="40"/>
  <c r="A30" i="40"/>
  <c r="B29" i="40"/>
  <c r="D18" i="40"/>
  <c r="C18" i="40"/>
  <c r="B18" i="40"/>
  <c r="A19" i="40"/>
  <c r="A45" i="40"/>
  <c r="B45" i="40" s="1"/>
  <c r="C44" i="40"/>
  <c r="D44" i="40"/>
  <c r="B44" i="40"/>
  <c r="C32" i="38"/>
  <c r="D32" i="38"/>
  <c r="C36" i="38"/>
  <c r="D36" i="38"/>
  <c r="D46" i="38"/>
  <c r="C46" i="38"/>
  <c r="B28" i="38"/>
  <c r="D28" i="38"/>
  <c r="C28" i="38"/>
  <c r="B51" i="38"/>
  <c r="D51" i="38"/>
  <c r="C51" i="38"/>
  <c r="B42" i="38"/>
  <c r="C42" i="38"/>
  <c r="D42" i="38"/>
  <c r="D69" i="38"/>
  <c r="C69" i="38"/>
  <c r="D17" i="38"/>
  <c r="C17" i="38"/>
  <c r="B43" i="36"/>
  <c r="B29" i="36"/>
  <c r="D19" i="36"/>
  <c r="C19" i="36"/>
  <c r="A44" i="36"/>
  <c r="B44" i="36" s="1"/>
  <c r="B51" i="36"/>
  <c r="B32" i="38"/>
  <c r="A33" i="38"/>
  <c r="B33" i="38" s="1"/>
  <c r="B17" i="38"/>
  <c r="A18" i="38"/>
  <c r="A29" i="38"/>
  <c r="B29" i="38" s="1"/>
  <c r="A52" i="38"/>
  <c r="A43" i="38"/>
  <c r="B43" i="38" s="1"/>
  <c r="B69" i="38"/>
  <c r="A70" i="38"/>
  <c r="B70" i="38" s="1"/>
  <c r="A37" i="38"/>
  <c r="B36" i="38"/>
  <c r="A47" i="38"/>
  <c r="B46" i="38"/>
  <c r="A30" i="36"/>
  <c r="A20" i="36"/>
  <c r="B19" i="36"/>
  <c r="A52" i="36"/>
  <c r="B52" i="36" s="1"/>
  <c r="A31" i="36"/>
  <c r="V36" i="15"/>
  <c r="V34" i="15"/>
  <c r="V30" i="15"/>
  <c r="V25" i="15"/>
  <c r="V22" i="15"/>
  <c r="V20" i="15"/>
  <c r="V7" i="15"/>
  <c r="V15" i="15"/>
  <c r="X35" i="15"/>
  <c r="AB35" i="15" s="1"/>
  <c r="X33" i="15"/>
  <c r="AB33" i="15" s="1"/>
  <c r="X29" i="15"/>
  <c r="AB29" i="15" s="1"/>
  <c r="X24" i="15"/>
  <c r="AB24" i="15" s="1"/>
  <c r="X21" i="15"/>
  <c r="AB21" i="15" s="1"/>
  <c r="X19" i="15"/>
  <c r="AB19" i="15" s="1"/>
  <c r="X14" i="15"/>
  <c r="X6" i="15"/>
  <c r="AB6" i="15" s="1"/>
  <c r="EF38" i="65" l="1"/>
  <c r="EG38" i="65" s="1"/>
  <c r="CB38" i="65"/>
  <c r="CC38" i="65" s="1"/>
  <c r="AZ38" i="62"/>
  <c r="CF37" i="61"/>
  <c r="CG37" i="61" s="1"/>
  <c r="BD38" i="61"/>
  <c r="X43" i="61"/>
  <c r="Y43" i="61" s="1"/>
  <c r="CB34" i="72"/>
  <c r="X41" i="72"/>
  <c r="Y40" i="72"/>
  <c r="AJ25" i="45"/>
  <c r="AJ24" i="53"/>
  <c r="AL24" i="49"/>
  <c r="AK24" i="49"/>
  <c r="AJ25" i="49"/>
  <c r="AJ24" i="48"/>
  <c r="AJ24" i="47"/>
  <c r="AB104" i="46"/>
  <c r="Z104" i="46"/>
  <c r="AA104" i="46" s="1"/>
  <c r="AE104" i="46" s="1"/>
  <c r="D20" i="42"/>
  <c r="C20" i="42"/>
  <c r="A21" i="42"/>
  <c r="B20" i="42"/>
  <c r="B33" i="42"/>
  <c r="A36" i="40"/>
  <c r="D35" i="40"/>
  <c r="C35" i="40"/>
  <c r="B35" i="40"/>
  <c r="A31" i="40"/>
  <c r="B31" i="40" s="1"/>
  <c r="D30" i="40"/>
  <c r="C30" i="40"/>
  <c r="B30" i="40"/>
  <c r="C19" i="40"/>
  <c r="D19" i="40"/>
  <c r="B19" i="40"/>
  <c r="A20" i="40"/>
  <c r="A37" i="40"/>
  <c r="B37" i="40" s="1"/>
  <c r="D18" i="38"/>
  <c r="C18" i="38"/>
  <c r="B47" i="38"/>
  <c r="C47" i="38"/>
  <c r="D47" i="38"/>
  <c r="D37" i="38"/>
  <c r="C37" i="38"/>
  <c r="D52" i="38"/>
  <c r="C52" i="38"/>
  <c r="B31" i="36"/>
  <c r="D20" i="36"/>
  <c r="C20" i="36"/>
  <c r="B30" i="36"/>
  <c r="B18" i="38"/>
  <c r="A48" i="38"/>
  <c r="B48" i="38" s="1"/>
  <c r="B52" i="38"/>
  <c r="A53" i="38"/>
  <c r="A19" i="38"/>
  <c r="A38" i="38"/>
  <c r="B37" i="38"/>
  <c r="A21" i="36"/>
  <c r="B20" i="36"/>
  <c r="AB14" i="15"/>
  <c r="B13" i="32"/>
  <c r="A7" i="32"/>
  <c r="A8" i="32" s="1"/>
  <c r="A11" i="32"/>
  <c r="B14" i="32"/>
  <c r="B15" i="32"/>
  <c r="B17" i="32"/>
  <c r="A18" i="32"/>
  <c r="B18" i="32" s="1"/>
  <c r="A20" i="32"/>
  <c r="A21" i="32" s="1"/>
  <c r="B21" i="32" s="1"/>
  <c r="A22" i="32"/>
  <c r="A28" i="32"/>
  <c r="A29" i="32" s="1"/>
  <c r="B29" i="32" s="1"/>
  <c r="A30" i="32"/>
  <c r="A31" i="32" s="1"/>
  <c r="B31" i="32" s="1"/>
  <c r="A32" i="32"/>
  <c r="A35" i="32"/>
  <c r="CF38" i="61" l="1"/>
  <c r="CG38" i="61" s="1"/>
  <c r="BD39" i="61"/>
  <c r="BE38" i="61"/>
  <c r="X44" i="61"/>
  <c r="Y44" i="61" s="1"/>
  <c r="CB35" i="72"/>
  <c r="X42" i="72"/>
  <c r="Y41" i="72"/>
  <c r="AJ26" i="45"/>
  <c r="AJ25" i="53"/>
  <c r="AL25" i="49"/>
  <c r="AK25" i="49"/>
  <c r="AJ26" i="49"/>
  <c r="AJ25" i="48"/>
  <c r="AJ25" i="47"/>
  <c r="AH104" i="46"/>
  <c r="AG104" i="46"/>
  <c r="AF104" i="46"/>
  <c r="B21" i="42"/>
  <c r="A21" i="40"/>
  <c r="D20" i="40"/>
  <c r="C20" i="40"/>
  <c r="B20" i="40"/>
  <c r="A22" i="40"/>
  <c r="C36" i="40"/>
  <c r="D36" i="40"/>
  <c r="B36" i="40"/>
  <c r="B38" i="38"/>
  <c r="D38" i="38"/>
  <c r="C38" i="38"/>
  <c r="B19" i="38"/>
  <c r="D19" i="38"/>
  <c r="C19" i="38"/>
  <c r="B53" i="38"/>
  <c r="C53" i="38"/>
  <c r="D53" i="38"/>
  <c r="D21" i="36"/>
  <c r="C21" i="36"/>
  <c r="A54" i="38"/>
  <c r="A20" i="38"/>
  <c r="A39" i="38"/>
  <c r="B39" i="38" s="1"/>
  <c r="A22" i="36"/>
  <c r="B21" i="36"/>
  <c r="A12" i="32"/>
  <c r="B32" i="32"/>
  <c r="A33" i="32"/>
  <c r="A34" i="32" s="1"/>
  <c r="B34" i="32" s="1"/>
  <c r="B35" i="32"/>
  <c r="A36" i="32"/>
  <c r="B36" i="32" s="1"/>
  <c r="B22" i="32"/>
  <c r="A23" i="32"/>
  <c r="B30" i="32"/>
  <c r="A19" i="32"/>
  <c r="B19" i="32" s="1"/>
  <c r="B8" i="32"/>
  <c r="A9" i="32"/>
  <c r="B28" i="32"/>
  <c r="B16" i="32"/>
  <c r="B11" i="32"/>
  <c r="B7" i="32"/>
  <c r="B20" i="32"/>
  <c r="X53" i="21"/>
  <c r="W53" i="21"/>
  <c r="AD53" i="21" s="1"/>
  <c r="X51" i="21"/>
  <c r="W51" i="21"/>
  <c r="AD51" i="21" s="1"/>
  <c r="X49" i="21"/>
  <c r="W49" i="21"/>
  <c r="AD49" i="21" s="1"/>
  <c r="X38" i="21"/>
  <c r="W38" i="21"/>
  <c r="AD38" i="21" s="1"/>
  <c r="X28" i="21"/>
  <c r="W28" i="21"/>
  <c r="W15" i="21"/>
  <c r="X13" i="21"/>
  <c r="W13" i="21"/>
  <c r="W11" i="21"/>
  <c r="X15" i="21"/>
  <c r="Y15" i="21" s="1"/>
  <c r="Z15" i="21" s="1"/>
  <c r="X11" i="21"/>
  <c r="X33" i="25"/>
  <c r="W33" i="25"/>
  <c r="X31" i="25"/>
  <c r="W31" i="25"/>
  <c r="BD40" i="61" l="1"/>
  <c r="BE40" i="61" s="1"/>
  <c r="BE39" i="61"/>
  <c r="CB36" i="72"/>
  <c r="X43" i="72"/>
  <c r="Y42" i="72"/>
  <c r="AJ27" i="45"/>
  <c r="AJ26" i="53"/>
  <c r="AL26" i="49"/>
  <c r="AK26" i="49"/>
  <c r="AJ27" i="49"/>
  <c r="AJ26" i="48"/>
  <c r="AJ26" i="47"/>
  <c r="AE38" i="21"/>
  <c r="E36" i="36"/>
  <c r="AG38" i="21"/>
  <c r="AF38" i="21"/>
  <c r="AE51" i="21"/>
  <c r="E45" i="36"/>
  <c r="AF51" i="21"/>
  <c r="AG51" i="21"/>
  <c r="AE53" i="21"/>
  <c r="E47" i="36"/>
  <c r="AG53" i="21"/>
  <c r="AF53" i="21"/>
  <c r="AE49" i="21"/>
  <c r="E9" i="36"/>
  <c r="AG49" i="21"/>
  <c r="AF49" i="21"/>
  <c r="AB38" i="21"/>
  <c r="AA38" i="21"/>
  <c r="AB49" i="21"/>
  <c r="AA49" i="21"/>
  <c r="AA51" i="21"/>
  <c r="AB51" i="21"/>
  <c r="AB53" i="21"/>
  <c r="AA53" i="21"/>
  <c r="B22" i="40"/>
  <c r="D22" i="40"/>
  <c r="C22" i="40"/>
  <c r="A23" i="40"/>
  <c r="D21" i="40"/>
  <c r="C21" i="40"/>
  <c r="B21" i="40"/>
  <c r="C20" i="38"/>
  <c r="D20" i="38"/>
  <c r="B54" i="38"/>
  <c r="C54" i="38"/>
  <c r="D54" i="38"/>
  <c r="D22" i="36"/>
  <c r="C22" i="36"/>
  <c r="B20" i="38"/>
  <c r="A21" i="38"/>
  <c r="A55" i="38"/>
  <c r="A23" i="36"/>
  <c r="B22" i="36"/>
  <c r="A10" i="32"/>
  <c r="B33" i="32"/>
  <c r="B12" i="32"/>
  <c r="A37" i="32"/>
  <c r="B37" i="32" s="1"/>
  <c r="A24" i="32"/>
  <c r="B23" i="32"/>
  <c r="AA31" i="25"/>
  <c r="AA33" i="25"/>
  <c r="Y31" i="25"/>
  <c r="Z31" i="25" s="1"/>
  <c r="Y13" i="21"/>
  <c r="Z13" i="21" s="1"/>
  <c r="Y38" i="21"/>
  <c r="Z38" i="21" s="1"/>
  <c r="Y51" i="21"/>
  <c r="Z51" i="21" s="1"/>
  <c r="Y53" i="21"/>
  <c r="Z53" i="21" s="1"/>
  <c r="Y11" i="21"/>
  <c r="Z11" i="21" s="1"/>
  <c r="Y49" i="21"/>
  <c r="Z49" i="21" s="1"/>
  <c r="X35" i="27"/>
  <c r="AD35" i="27"/>
  <c r="AG35" i="27" s="1"/>
  <c r="X32" i="27"/>
  <c r="W32" i="27"/>
  <c r="AD32" i="27" s="1"/>
  <c r="X30" i="27"/>
  <c r="W30" i="27"/>
  <c r="AD30" i="27" s="1"/>
  <c r="X28" i="27"/>
  <c r="W28" i="27"/>
  <c r="AD28" i="27" s="1"/>
  <c r="X24" i="27"/>
  <c r="W24" i="27"/>
  <c r="AD24" i="27" s="1"/>
  <c r="X21" i="27"/>
  <c r="W21" i="27"/>
  <c r="AD21" i="27" s="1"/>
  <c r="X19" i="27"/>
  <c r="W19" i="27"/>
  <c r="AD19" i="27" s="1"/>
  <c r="W16" i="27"/>
  <c r="AD16" i="27" s="1"/>
  <c r="X16" i="27"/>
  <c r="AD11" i="27"/>
  <c r="X6" i="27"/>
  <c r="W6" i="27"/>
  <c r="AD6" i="27" s="1"/>
  <c r="S6" i="27"/>
  <c r="S30" i="27"/>
  <c r="S21" i="27"/>
  <c r="S24" i="27"/>
  <c r="S28" i="27"/>
  <c r="S23" i="27"/>
  <c r="S27" i="27"/>
  <c r="S26" i="27"/>
  <c r="S16" i="27"/>
  <c r="S15" i="27"/>
  <c r="S19" i="27"/>
  <c r="S14" i="27"/>
  <c r="S18" i="27"/>
  <c r="S13" i="27"/>
  <c r="S11" i="27"/>
  <c r="S9" i="27"/>
  <c r="S8" i="27"/>
  <c r="S35" i="27"/>
  <c r="S34" i="27"/>
  <c r="S32" i="27"/>
  <c r="H25" i="27"/>
  <c r="G25" i="27"/>
  <c r="N25" i="27" s="1"/>
  <c r="H24" i="27"/>
  <c r="G24" i="27"/>
  <c r="N24" i="27" s="1"/>
  <c r="I24" i="27"/>
  <c r="J24" i="27" s="1"/>
  <c r="H17" i="27"/>
  <c r="K17" i="27" s="1"/>
  <c r="G17" i="27"/>
  <c r="H11" i="27"/>
  <c r="G11" i="27"/>
  <c r="N11" i="27" s="1"/>
  <c r="H8" i="27"/>
  <c r="K8" i="27" s="1"/>
  <c r="G8" i="27"/>
  <c r="G6" i="27"/>
  <c r="N6" i="27" s="1"/>
  <c r="H6" i="27"/>
  <c r="K6" i="27" s="1"/>
  <c r="B25" i="27"/>
  <c r="B24" i="27"/>
  <c r="B23" i="27"/>
  <c r="B22" i="27"/>
  <c r="B21" i="27"/>
  <c r="B20" i="27"/>
  <c r="B19" i="27"/>
  <c r="B18" i="27"/>
  <c r="B17" i="27"/>
  <c r="B16" i="27"/>
  <c r="B15" i="27"/>
  <c r="B14" i="27"/>
  <c r="B13" i="27"/>
  <c r="B12" i="27"/>
  <c r="B11" i="27"/>
  <c r="B10" i="27"/>
  <c r="B9" i="27"/>
  <c r="B8" i="27"/>
  <c r="B7" i="27"/>
  <c r="B6" i="27"/>
  <c r="W56" i="25"/>
  <c r="W54" i="25"/>
  <c r="X52" i="25"/>
  <c r="W52" i="25"/>
  <c r="X48" i="25"/>
  <c r="W48" i="25"/>
  <c r="X46" i="25"/>
  <c r="W46" i="25"/>
  <c r="X38" i="25"/>
  <c r="W38" i="25"/>
  <c r="Y33" i="25"/>
  <c r="Z33" i="25" s="1"/>
  <c r="X22" i="25"/>
  <c r="W22" i="25"/>
  <c r="V11" i="25"/>
  <c r="X12" i="25" s="1"/>
  <c r="V18" i="25"/>
  <c r="W18" i="25" s="1"/>
  <c r="V16" i="25"/>
  <c r="X16" i="25" s="1"/>
  <c r="V9" i="25"/>
  <c r="S11" i="25"/>
  <c r="S18" i="25"/>
  <c r="S16" i="25"/>
  <c r="S9" i="25"/>
  <c r="X54" i="25"/>
  <c r="AA54" i="25" s="1"/>
  <c r="X7" i="25"/>
  <c r="W7" i="25"/>
  <c r="S29" i="25"/>
  <c r="S12" i="25"/>
  <c r="V14" i="25"/>
  <c r="W14" i="25" s="1"/>
  <c r="S14" i="25"/>
  <c r="X56" i="25"/>
  <c r="AA56" i="25" s="1"/>
  <c r="S56" i="25"/>
  <c r="S38" i="25"/>
  <c r="S37" i="25"/>
  <c r="S52" i="25"/>
  <c r="S46" i="25"/>
  <c r="S51" i="25"/>
  <c r="S50" i="25"/>
  <c r="S36" i="25"/>
  <c r="S48" i="25"/>
  <c r="S44" i="25"/>
  <c r="S35" i="25"/>
  <c r="S43" i="25"/>
  <c r="V42" i="25"/>
  <c r="X44" i="25" s="1"/>
  <c r="S42" i="25"/>
  <c r="S41" i="25"/>
  <c r="S40" i="25"/>
  <c r="S31" i="25"/>
  <c r="S30" i="25"/>
  <c r="S28" i="25"/>
  <c r="S27" i="25"/>
  <c r="S33" i="25"/>
  <c r="S26" i="25"/>
  <c r="S25" i="25"/>
  <c r="S24" i="25"/>
  <c r="S22" i="25"/>
  <c r="V20" i="25"/>
  <c r="X20" i="25" s="1"/>
  <c r="S20" i="25"/>
  <c r="S54" i="25"/>
  <c r="S7" i="25"/>
  <c r="S6" i="25"/>
  <c r="H33" i="25"/>
  <c r="G33" i="25"/>
  <c r="N33" i="25" s="1"/>
  <c r="H18" i="25"/>
  <c r="K18" i="25" s="1"/>
  <c r="G18" i="25"/>
  <c r="N18" i="25" s="1"/>
  <c r="H8" i="25"/>
  <c r="K8" i="25" s="1"/>
  <c r="G8" i="25"/>
  <c r="N8" i="25" s="1"/>
  <c r="F34" i="25"/>
  <c r="F21" i="25"/>
  <c r="F9" i="25"/>
  <c r="H7" i="25"/>
  <c r="G7" i="25"/>
  <c r="N7" i="25" s="1"/>
  <c r="B35" i="25"/>
  <c r="B34" i="25"/>
  <c r="B33" i="25"/>
  <c r="B32" i="25"/>
  <c r="B31" i="25"/>
  <c r="B30" i="25"/>
  <c r="B29" i="25"/>
  <c r="B28" i="25"/>
  <c r="B27" i="25"/>
  <c r="B26" i="25"/>
  <c r="B25" i="25"/>
  <c r="B24" i="25"/>
  <c r="B23" i="25"/>
  <c r="B22" i="25"/>
  <c r="B21" i="25"/>
  <c r="B20" i="25"/>
  <c r="B19" i="25"/>
  <c r="B18" i="25"/>
  <c r="B17" i="25"/>
  <c r="B16" i="25"/>
  <c r="B15" i="25"/>
  <c r="B14" i="25"/>
  <c r="B13" i="25"/>
  <c r="B12" i="25"/>
  <c r="B11" i="25"/>
  <c r="B10" i="25"/>
  <c r="B9" i="25"/>
  <c r="B8" i="25"/>
  <c r="B7" i="25"/>
  <c r="B6" i="25"/>
  <c r="X68" i="23"/>
  <c r="W68" i="23"/>
  <c r="X65" i="23"/>
  <c r="W65" i="23"/>
  <c r="X63" i="23"/>
  <c r="W63" i="23"/>
  <c r="X61" i="23"/>
  <c r="W61" i="23"/>
  <c r="X59" i="23"/>
  <c r="W59" i="23"/>
  <c r="X57" i="23"/>
  <c r="W57" i="23"/>
  <c r="X47" i="23"/>
  <c r="W47" i="23"/>
  <c r="X42" i="23"/>
  <c r="W42" i="23"/>
  <c r="W32" i="23"/>
  <c r="X32" i="23"/>
  <c r="X28" i="23"/>
  <c r="W28" i="23"/>
  <c r="X24" i="23"/>
  <c r="W24" i="23"/>
  <c r="X13" i="23"/>
  <c r="W13" i="23"/>
  <c r="X9" i="23"/>
  <c r="W9" i="23"/>
  <c r="X6" i="23"/>
  <c r="AB6" i="23" s="1"/>
  <c r="W6" i="23"/>
  <c r="V38" i="23"/>
  <c r="V55" i="23"/>
  <c r="S61" i="23"/>
  <c r="S9" i="23"/>
  <c r="S13" i="23"/>
  <c r="S8" i="23"/>
  <c r="S6" i="23"/>
  <c r="S12" i="23"/>
  <c r="S11" i="23"/>
  <c r="S68" i="23"/>
  <c r="S65" i="23"/>
  <c r="S67" i="23"/>
  <c r="S47" i="23"/>
  <c r="S38" i="23"/>
  <c r="S55" i="23"/>
  <c r="S46" i="23"/>
  <c r="S54" i="23"/>
  <c r="S45" i="23"/>
  <c r="S53" i="23"/>
  <c r="S42" i="23"/>
  <c r="S52" i="23"/>
  <c r="S51" i="23"/>
  <c r="S37" i="23"/>
  <c r="S41" i="23"/>
  <c r="S36" i="23"/>
  <c r="S35" i="23"/>
  <c r="S34" i="23"/>
  <c r="S44" i="23"/>
  <c r="S50" i="23"/>
  <c r="S49" i="23"/>
  <c r="S40" i="23"/>
  <c r="S24" i="23"/>
  <c r="S32" i="23"/>
  <c r="S23" i="23"/>
  <c r="S31" i="23"/>
  <c r="S22" i="23"/>
  <c r="S30" i="23"/>
  <c r="S21" i="23"/>
  <c r="S20" i="23"/>
  <c r="S19" i="23"/>
  <c r="S18" i="23"/>
  <c r="S17" i="23"/>
  <c r="S16" i="23"/>
  <c r="S28" i="23"/>
  <c r="S15" i="23"/>
  <c r="S27" i="23"/>
  <c r="S26" i="23"/>
  <c r="S63" i="23"/>
  <c r="S57" i="23"/>
  <c r="S59" i="23"/>
  <c r="H52" i="23"/>
  <c r="G52" i="23"/>
  <c r="N52" i="23" s="1"/>
  <c r="H46" i="23"/>
  <c r="N46" i="23"/>
  <c r="H24" i="23"/>
  <c r="G24" i="23"/>
  <c r="N24" i="23" s="1"/>
  <c r="H8" i="23"/>
  <c r="G8" i="23"/>
  <c r="N8" i="23" s="1"/>
  <c r="G13" i="15"/>
  <c r="N13" i="15" s="1"/>
  <c r="H7" i="23"/>
  <c r="G7" i="23"/>
  <c r="N7" i="23" s="1"/>
  <c r="O7" i="23" s="1"/>
  <c r="F42" i="23"/>
  <c r="F41" i="23"/>
  <c r="B52" i="23"/>
  <c r="B51" i="23"/>
  <c r="B50" i="23"/>
  <c r="B49" i="23"/>
  <c r="B48" i="23"/>
  <c r="B47" i="23"/>
  <c r="B46" i="23"/>
  <c r="B45" i="23"/>
  <c r="B44" i="23"/>
  <c r="B43" i="23"/>
  <c r="B42" i="23"/>
  <c r="B41" i="23"/>
  <c r="B40" i="23"/>
  <c r="B39" i="23"/>
  <c r="B38" i="23"/>
  <c r="B37" i="23"/>
  <c r="B36" i="23"/>
  <c r="B35" i="23"/>
  <c r="B34" i="23"/>
  <c r="B33" i="23"/>
  <c r="B32" i="23"/>
  <c r="B31" i="23"/>
  <c r="B30" i="23"/>
  <c r="B29" i="23"/>
  <c r="B28" i="23"/>
  <c r="B27" i="23"/>
  <c r="B26" i="23"/>
  <c r="B25" i="23"/>
  <c r="B24" i="23"/>
  <c r="B23" i="23"/>
  <c r="B22" i="23"/>
  <c r="B21" i="23"/>
  <c r="B20" i="23"/>
  <c r="B19" i="23"/>
  <c r="B18" i="23"/>
  <c r="B17" i="23"/>
  <c r="B16" i="23"/>
  <c r="B15" i="23"/>
  <c r="B14" i="23"/>
  <c r="B13" i="23"/>
  <c r="B12" i="23"/>
  <c r="B11" i="23"/>
  <c r="B10" i="23"/>
  <c r="B9" i="23"/>
  <c r="B8" i="23"/>
  <c r="B7" i="23"/>
  <c r="B6" i="23"/>
  <c r="B6" i="12"/>
  <c r="B7" i="12"/>
  <c r="B8" i="12"/>
  <c r="B9" i="12"/>
  <c r="B10" i="12"/>
  <c r="B11" i="12"/>
  <c r="B12" i="12"/>
  <c r="B13" i="12"/>
  <c r="B14" i="12"/>
  <c r="B15" i="12"/>
  <c r="B16" i="12"/>
  <c r="B17" i="12"/>
  <c r="B18" i="12"/>
  <c r="B19" i="12"/>
  <c r="B20" i="12"/>
  <c r="B21" i="12"/>
  <c r="B22" i="12"/>
  <c r="B23" i="12"/>
  <c r="B24" i="12"/>
  <c r="B25" i="12"/>
  <c r="B26" i="12"/>
  <c r="B27" i="12"/>
  <c r="B28" i="12"/>
  <c r="B29" i="12"/>
  <c r="B30" i="12"/>
  <c r="B31" i="12"/>
  <c r="B32" i="12"/>
  <c r="B33" i="12"/>
  <c r="B34" i="12"/>
  <c r="B35" i="12"/>
  <c r="B36" i="12"/>
  <c r="B37" i="12"/>
  <c r="B38" i="12"/>
  <c r="B39" i="12"/>
  <c r="B40" i="12"/>
  <c r="B41" i="12"/>
  <c r="B42" i="12"/>
  <c r="B43" i="12"/>
  <c r="B44" i="12"/>
  <c r="B45" i="12"/>
  <c r="B46" i="12"/>
  <c r="B47" i="12"/>
  <c r="B48" i="12"/>
  <c r="B49" i="12"/>
  <c r="F52" i="12"/>
  <c r="F51" i="12"/>
  <c r="F50" i="12"/>
  <c r="F49" i="12"/>
  <c r="F48" i="12"/>
  <c r="F47" i="12"/>
  <c r="F46" i="12"/>
  <c r="F45" i="12"/>
  <c r="F44" i="12"/>
  <c r="F43" i="12"/>
  <c r="F42" i="12"/>
  <c r="F41" i="12"/>
  <c r="F40" i="12"/>
  <c r="F39" i="12"/>
  <c r="F38" i="12"/>
  <c r="F37" i="12"/>
  <c r="F36" i="12"/>
  <c r="F35" i="12"/>
  <c r="F34" i="12"/>
  <c r="F33" i="12"/>
  <c r="F32" i="12"/>
  <c r="F31" i="12"/>
  <c r="F30" i="12"/>
  <c r="F29" i="12"/>
  <c r="F28" i="12"/>
  <c r="F27" i="12"/>
  <c r="F26" i="12"/>
  <c r="F25" i="12"/>
  <c r="F24" i="12"/>
  <c r="F23" i="12"/>
  <c r="F22" i="12"/>
  <c r="F21" i="12"/>
  <c r="F20" i="12"/>
  <c r="F19" i="12"/>
  <c r="F18" i="12"/>
  <c r="F17" i="12"/>
  <c r="F16" i="12"/>
  <c r="F15" i="12"/>
  <c r="F14" i="12"/>
  <c r="F13" i="12"/>
  <c r="F12" i="12"/>
  <c r="F11" i="12"/>
  <c r="F10" i="12"/>
  <c r="F9" i="12"/>
  <c r="F8" i="12"/>
  <c r="F7" i="12"/>
  <c r="F6" i="12"/>
  <c r="V9" i="21"/>
  <c r="S9" i="21"/>
  <c r="S11" i="21"/>
  <c r="S8" i="21"/>
  <c r="V6" i="21"/>
  <c r="S6" i="21"/>
  <c r="S57" i="21"/>
  <c r="S53" i="21"/>
  <c r="V56" i="21"/>
  <c r="S56" i="21"/>
  <c r="S55" i="21"/>
  <c r="S51" i="21"/>
  <c r="S28" i="21"/>
  <c r="V41" i="21"/>
  <c r="S41" i="21"/>
  <c r="S27" i="21"/>
  <c r="S40" i="21"/>
  <c r="S26" i="21"/>
  <c r="S25" i="21"/>
  <c r="S24" i="21"/>
  <c r="S23" i="21"/>
  <c r="S45" i="21"/>
  <c r="S36" i="21"/>
  <c r="S35" i="21"/>
  <c r="S22" i="21"/>
  <c r="S21" i="21"/>
  <c r="S44" i="21"/>
  <c r="V17" i="21"/>
  <c r="S17" i="21"/>
  <c r="S20" i="21"/>
  <c r="S34" i="21"/>
  <c r="V43" i="21"/>
  <c r="S43" i="21"/>
  <c r="S33" i="21"/>
  <c r="S32" i="21"/>
  <c r="S31" i="21"/>
  <c r="S30" i="21"/>
  <c r="S38" i="21"/>
  <c r="S19" i="21"/>
  <c r="S15" i="21"/>
  <c r="S13" i="21"/>
  <c r="V47" i="21"/>
  <c r="S47" i="21"/>
  <c r="S49" i="21"/>
  <c r="H9" i="21"/>
  <c r="G9" i="21"/>
  <c r="F42" i="21"/>
  <c r="F39" i="21"/>
  <c r="F36" i="21"/>
  <c r="H38" i="21" s="1"/>
  <c r="F32" i="21"/>
  <c r="F19" i="21"/>
  <c r="F16" i="21"/>
  <c r="F7" i="21"/>
  <c r="B42" i="21"/>
  <c r="B41" i="21"/>
  <c r="B40" i="21"/>
  <c r="B39" i="21"/>
  <c r="B38" i="21"/>
  <c r="B37" i="21"/>
  <c r="B36" i="21"/>
  <c r="B35" i="21"/>
  <c r="B34" i="21"/>
  <c r="B33" i="21"/>
  <c r="B32" i="21"/>
  <c r="B31" i="21"/>
  <c r="B30" i="21"/>
  <c r="B29" i="21"/>
  <c r="B28" i="21"/>
  <c r="B27" i="21"/>
  <c r="B26" i="21"/>
  <c r="B25" i="21"/>
  <c r="B24" i="21"/>
  <c r="B23" i="21"/>
  <c r="B22" i="21"/>
  <c r="B21" i="21"/>
  <c r="B20" i="21"/>
  <c r="B19" i="21"/>
  <c r="B18" i="21"/>
  <c r="B17" i="21"/>
  <c r="B16" i="21"/>
  <c r="B15" i="21"/>
  <c r="B14" i="21"/>
  <c r="B13" i="21"/>
  <c r="B12" i="21"/>
  <c r="B11" i="21"/>
  <c r="B10" i="21"/>
  <c r="B9" i="21"/>
  <c r="B8" i="21"/>
  <c r="B7" i="21"/>
  <c r="B6" i="21"/>
  <c r="X34" i="19"/>
  <c r="AB34" i="19" s="1"/>
  <c r="W34" i="19"/>
  <c r="AD34" i="19" s="1"/>
  <c r="E27" i="34" s="1"/>
  <c r="X32" i="19"/>
  <c r="AB32" i="19" s="1"/>
  <c r="W32" i="19"/>
  <c r="AD32" i="19" s="1"/>
  <c r="E7" i="34" s="1"/>
  <c r="X29" i="19"/>
  <c r="AB29" i="19" s="1"/>
  <c r="W29" i="19"/>
  <c r="AD29" i="19" s="1"/>
  <c r="E18" i="34" s="1"/>
  <c r="W10" i="19"/>
  <c r="AD10" i="19" s="1"/>
  <c r="W12" i="19"/>
  <c r="AD12" i="19" s="1"/>
  <c r="X12" i="19"/>
  <c r="X10" i="19"/>
  <c r="X8" i="19"/>
  <c r="W8" i="19"/>
  <c r="AD8" i="19" s="1"/>
  <c r="X6" i="19"/>
  <c r="W6" i="19"/>
  <c r="AD6" i="19" s="1"/>
  <c r="S10" i="19"/>
  <c r="S12" i="19"/>
  <c r="S8" i="19"/>
  <c r="S6" i="19"/>
  <c r="S34" i="19"/>
  <c r="S29" i="19"/>
  <c r="S22" i="19"/>
  <c r="S28" i="19"/>
  <c r="S27" i="19"/>
  <c r="S26" i="19"/>
  <c r="S25" i="19"/>
  <c r="S24" i="19"/>
  <c r="S18" i="19"/>
  <c r="S17" i="19"/>
  <c r="V20" i="19"/>
  <c r="S20" i="19"/>
  <c r="V14" i="19"/>
  <c r="S14" i="19"/>
  <c r="V16" i="19"/>
  <c r="S16" i="19"/>
  <c r="S32" i="19"/>
  <c r="S31" i="19"/>
  <c r="H20" i="19"/>
  <c r="H24" i="19"/>
  <c r="G24" i="19"/>
  <c r="N24" i="19" s="1"/>
  <c r="G20" i="19"/>
  <c r="N20" i="19" s="1"/>
  <c r="H19" i="19"/>
  <c r="G19" i="19"/>
  <c r="N19" i="19" s="1"/>
  <c r="F10" i="19"/>
  <c r="F9" i="19"/>
  <c r="F8" i="19"/>
  <c r="G13" i="2"/>
  <c r="H7" i="19"/>
  <c r="G7" i="19"/>
  <c r="N7" i="19" s="1"/>
  <c r="B24" i="19"/>
  <c r="B23" i="19"/>
  <c r="B22" i="19"/>
  <c r="B21" i="19"/>
  <c r="B20" i="19"/>
  <c r="B19" i="19"/>
  <c r="B18" i="19"/>
  <c r="B17" i="19"/>
  <c r="B16" i="19"/>
  <c r="B15" i="19"/>
  <c r="B14" i="19"/>
  <c r="B13" i="19"/>
  <c r="B12" i="19"/>
  <c r="B11" i="19"/>
  <c r="B10" i="19"/>
  <c r="B9" i="19"/>
  <c r="B8" i="19"/>
  <c r="B7" i="19"/>
  <c r="B6" i="19"/>
  <c r="H19" i="15"/>
  <c r="G19" i="15"/>
  <c r="N19" i="15" s="1"/>
  <c r="W6" i="15"/>
  <c r="AD6" i="15" s="1"/>
  <c r="E30" i="32" s="1"/>
  <c r="W21" i="15"/>
  <c r="AD21" i="15" s="1"/>
  <c r="E18" i="32" s="1"/>
  <c r="W35" i="15"/>
  <c r="AD35" i="15" s="1"/>
  <c r="E28" i="32" s="1"/>
  <c r="W33" i="15"/>
  <c r="AD33" i="15" s="1"/>
  <c r="E7" i="32" s="1"/>
  <c r="W29" i="15"/>
  <c r="AD29" i="15" s="1"/>
  <c r="E22" i="32" s="1"/>
  <c r="W24" i="15"/>
  <c r="AD24" i="15" s="1"/>
  <c r="E20" i="32" s="1"/>
  <c r="W19" i="15"/>
  <c r="AD19" i="15" s="1"/>
  <c r="E13" i="32" s="1"/>
  <c r="W14" i="15"/>
  <c r="S21" i="15"/>
  <c r="AC21" i="15" s="1"/>
  <c r="S12" i="15"/>
  <c r="V11" i="15"/>
  <c r="S11" i="15"/>
  <c r="V9" i="15"/>
  <c r="S9" i="15"/>
  <c r="S6" i="15"/>
  <c r="AC6" i="15" s="1"/>
  <c r="S8" i="15"/>
  <c r="S35" i="15"/>
  <c r="AC35" i="15" s="1"/>
  <c r="S29" i="15"/>
  <c r="S33" i="15" s="1"/>
  <c r="S28" i="15"/>
  <c r="S27" i="15"/>
  <c r="S24" i="15"/>
  <c r="S23" i="15"/>
  <c r="S26" i="15"/>
  <c r="S19" i="15"/>
  <c r="S18" i="15"/>
  <c r="S14" i="15"/>
  <c r="AC14" i="15" s="1"/>
  <c r="S17" i="15"/>
  <c r="S16" i="15"/>
  <c r="S32" i="15"/>
  <c r="B25" i="15"/>
  <c r="B24" i="15"/>
  <c r="B23" i="15"/>
  <c r="B22" i="15"/>
  <c r="B21" i="15"/>
  <c r="B20" i="15"/>
  <c r="B19" i="15"/>
  <c r="B18" i="15"/>
  <c r="B17" i="15"/>
  <c r="B16" i="15"/>
  <c r="B15" i="15"/>
  <c r="B14" i="15"/>
  <c r="B13" i="15"/>
  <c r="B12" i="15"/>
  <c r="B11" i="15"/>
  <c r="B10" i="15"/>
  <c r="B9" i="15"/>
  <c r="B8" i="15"/>
  <c r="B7" i="15"/>
  <c r="B6" i="15"/>
  <c r="H20" i="15"/>
  <c r="H13" i="15"/>
  <c r="K13" i="15" s="1"/>
  <c r="H8" i="15"/>
  <c r="F24" i="15"/>
  <c r="F23" i="15"/>
  <c r="G20" i="15"/>
  <c r="N20" i="15" s="1"/>
  <c r="G8" i="15"/>
  <c r="N8" i="15" s="1"/>
  <c r="G28" i="5"/>
  <c r="G15" i="5"/>
  <c r="G6" i="5"/>
  <c r="G46" i="4"/>
  <c r="G45" i="4"/>
  <c r="G48" i="3"/>
  <c r="G46" i="3"/>
  <c r="G37" i="3"/>
  <c r="G28" i="3"/>
  <c r="G27" i="3"/>
  <c r="G25" i="3"/>
  <c r="G19" i="3"/>
  <c r="G15" i="3"/>
  <c r="G14" i="3"/>
  <c r="G23" i="2"/>
  <c r="G20" i="2"/>
  <c r="G19" i="2"/>
  <c r="G16" i="2"/>
  <c r="G14" i="2"/>
  <c r="G12" i="2"/>
  <c r="G11" i="2"/>
  <c r="G6" i="2"/>
  <c r="G24" i="1"/>
  <c r="G23" i="1"/>
  <c r="G20" i="1"/>
  <c r="AB8" i="19" l="1"/>
  <c r="AC8" i="19" s="1"/>
  <c r="AA8" i="19"/>
  <c r="E33" i="34"/>
  <c r="AE10" i="19"/>
  <c r="AF10" i="19"/>
  <c r="AG10" i="19"/>
  <c r="K24" i="19"/>
  <c r="D21" i="34"/>
  <c r="C20" i="34"/>
  <c r="D19" i="34"/>
  <c r="D20" i="34"/>
  <c r="C23" i="34"/>
  <c r="D22" i="34"/>
  <c r="C21" i="34"/>
  <c r="D23" i="34"/>
  <c r="C22" i="34"/>
  <c r="D18" i="34"/>
  <c r="C18" i="34"/>
  <c r="C19" i="34"/>
  <c r="V21" i="19"/>
  <c r="W22" i="19" s="1"/>
  <c r="AD22" i="19" s="1"/>
  <c r="E25" i="34" s="1"/>
  <c r="AB6" i="19"/>
  <c r="AA6" i="19"/>
  <c r="AB12" i="19"/>
  <c r="AA12" i="19"/>
  <c r="AC29" i="19"/>
  <c r="AC34" i="19"/>
  <c r="AC32" i="19"/>
  <c r="E29" i="34"/>
  <c r="AF6" i="19"/>
  <c r="AE6" i="19"/>
  <c r="AG6" i="19"/>
  <c r="AB10" i="19"/>
  <c r="AC10" i="19" s="1"/>
  <c r="AA10" i="19"/>
  <c r="D27" i="34"/>
  <c r="C27" i="34"/>
  <c r="E31" i="34"/>
  <c r="AG8" i="19"/>
  <c r="AF8" i="19"/>
  <c r="AE8" i="19"/>
  <c r="E35" i="34"/>
  <c r="AE12" i="19"/>
  <c r="AF12" i="19"/>
  <c r="AG12" i="19"/>
  <c r="D7" i="34"/>
  <c r="C8" i="34"/>
  <c r="C7" i="34"/>
  <c r="D8" i="34"/>
  <c r="CB37" i="72"/>
  <c r="X44" i="72"/>
  <c r="Y44" i="72" s="1"/>
  <c r="Y43" i="72"/>
  <c r="AJ28" i="45"/>
  <c r="AJ27" i="53"/>
  <c r="AK27" i="49"/>
  <c r="AL27" i="49"/>
  <c r="AJ28" i="49"/>
  <c r="AJ27" i="48"/>
  <c r="AJ27" i="47"/>
  <c r="AC51" i="21"/>
  <c r="C9" i="36"/>
  <c r="D9" i="36"/>
  <c r="C47" i="36"/>
  <c r="D47" i="36"/>
  <c r="C45" i="36"/>
  <c r="D45" i="36"/>
  <c r="D58" i="36"/>
  <c r="C36" i="36"/>
  <c r="C58" i="36"/>
  <c r="D36" i="36"/>
  <c r="AC53" i="21"/>
  <c r="AC49" i="21"/>
  <c r="AC38" i="21"/>
  <c r="AB19" i="27"/>
  <c r="AC19" i="27" s="1"/>
  <c r="AA19" i="27"/>
  <c r="AB35" i="27"/>
  <c r="AC35" i="27" s="1"/>
  <c r="AA35" i="27"/>
  <c r="Q6" i="27"/>
  <c r="O6" i="27"/>
  <c r="P6" i="27"/>
  <c r="K11" i="27"/>
  <c r="O24" i="27"/>
  <c r="Q24" i="27"/>
  <c r="P24" i="27"/>
  <c r="AB16" i="27"/>
  <c r="AC16" i="27" s="1"/>
  <c r="AA16" i="27"/>
  <c r="AE21" i="27"/>
  <c r="AF21" i="27"/>
  <c r="AF28" i="27"/>
  <c r="AE28" i="27"/>
  <c r="E7" i="42"/>
  <c r="AE32" i="27"/>
  <c r="AF32" i="27"/>
  <c r="Q25" i="27"/>
  <c r="P25" i="27"/>
  <c r="O25" i="27"/>
  <c r="AB11" i="27"/>
  <c r="AA11" i="27"/>
  <c r="AB6" i="27"/>
  <c r="AC6" i="27" s="1"/>
  <c r="AA6" i="27"/>
  <c r="AF19" i="27"/>
  <c r="AE19" i="27"/>
  <c r="AF24" i="27"/>
  <c r="AE24" i="27"/>
  <c r="AF30" i="27"/>
  <c r="AE30" i="27"/>
  <c r="E9" i="42"/>
  <c r="AF35" i="27"/>
  <c r="AE35" i="27"/>
  <c r="M11" i="27"/>
  <c r="M7" i="27"/>
  <c r="M8" i="27"/>
  <c r="M16" i="27"/>
  <c r="M9" i="27"/>
  <c r="M20" i="27"/>
  <c r="M23" i="27"/>
  <c r="M19" i="27"/>
  <c r="M12" i="27"/>
  <c r="M15" i="27"/>
  <c r="M24" i="27"/>
  <c r="M13" i="27"/>
  <c r="M14" i="27"/>
  <c r="M22" i="27"/>
  <c r="M10" i="27"/>
  <c r="M21" i="27"/>
  <c r="M6" i="27"/>
  <c r="M18" i="27"/>
  <c r="M17" i="27"/>
  <c r="M25" i="27"/>
  <c r="P11" i="27"/>
  <c r="O11" i="27"/>
  <c r="Q11" i="27"/>
  <c r="K25" i="27"/>
  <c r="AF11" i="27"/>
  <c r="AE11" i="27"/>
  <c r="AB24" i="27"/>
  <c r="AC24" i="27" s="1"/>
  <c r="AA24" i="27"/>
  <c r="AB30" i="27"/>
  <c r="AC30" i="27" s="1"/>
  <c r="AA30" i="27"/>
  <c r="I8" i="27"/>
  <c r="J8" i="27" s="1"/>
  <c r="N8" i="27"/>
  <c r="I17" i="27"/>
  <c r="J17" i="27" s="1"/>
  <c r="N17" i="27"/>
  <c r="K24" i="27"/>
  <c r="AG6" i="27"/>
  <c r="AF6" i="27"/>
  <c r="AE6" i="27"/>
  <c r="AE16" i="27"/>
  <c r="AF16" i="27"/>
  <c r="AA21" i="27"/>
  <c r="AB21" i="27"/>
  <c r="AC21" i="27" s="1"/>
  <c r="AA28" i="27"/>
  <c r="AB28" i="27"/>
  <c r="AC28" i="27" s="1"/>
  <c r="AA32" i="27"/>
  <c r="AB32" i="27"/>
  <c r="AC32" i="27" s="1"/>
  <c r="C23" i="40"/>
  <c r="D23" i="40"/>
  <c r="B23" i="40"/>
  <c r="A24" i="40"/>
  <c r="B24" i="40" s="1"/>
  <c r="D55" i="38"/>
  <c r="C55" i="38"/>
  <c r="B21" i="38"/>
  <c r="C21" i="38"/>
  <c r="D21" i="38"/>
  <c r="D23" i="36"/>
  <c r="C23" i="36"/>
  <c r="A22" i="38"/>
  <c r="B55" i="38"/>
  <c r="A56" i="38"/>
  <c r="B56" i="38" s="1"/>
  <c r="A24" i="36"/>
  <c r="B23" i="36"/>
  <c r="S31" i="15"/>
  <c r="D16" i="32"/>
  <c r="C14" i="32"/>
  <c r="D13" i="32"/>
  <c r="C15" i="32"/>
  <c r="D15" i="32"/>
  <c r="C16" i="32"/>
  <c r="D14" i="32"/>
  <c r="C13" i="32"/>
  <c r="D28" i="32"/>
  <c r="C28" i="32"/>
  <c r="D20" i="32"/>
  <c r="C20" i="32"/>
  <c r="D18" i="32"/>
  <c r="C18" i="32"/>
  <c r="D24" i="32"/>
  <c r="C23" i="32"/>
  <c r="C22" i="32"/>
  <c r="D25" i="32"/>
  <c r="C24" i="32"/>
  <c r="D23" i="32"/>
  <c r="C26" i="32"/>
  <c r="D26" i="32"/>
  <c r="C25" i="32"/>
  <c r="D22" i="32"/>
  <c r="D30" i="32"/>
  <c r="C30" i="32"/>
  <c r="AC19" i="15"/>
  <c r="C8" i="32"/>
  <c r="D8" i="32"/>
  <c r="D9" i="32"/>
  <c r="D7" i="32"/>
  <c r="C7" i="32"/>
  <c r="AC33" i="15"/>
  <c r="AC29" i="15"/>
  <c r="V13" i="15"/>
  <c r="X12" i="15"/>
  <c r="AD14" i="15"/>
  <c r="Y14" i="15"/>
  <c r="Z14" i="15" s="1"/>
  <c r="AC24" i="15"/>
  <c r="V10" i="15"/>
  <c r="X9" i="15"/>
  <c r="A25" i="32"/>
  <c r="B24" i="32"/>
  <c r="B9" i="32"/>
  <c r="Y19" i="27"/>
  <c r="Z19" i="27" s="1"/>
  <c r="Y24" i="27"/>
  <c r="Z24" i="27" s="1"/>
  <c r="AA7" i="25"/>
  <c r="X9" i="25"/>
  <c r="V10" i="25"/>
  <c r="AA38" i="25"/>
  <c r="AA46" i="25"/>
  <c r="AA48" i="25"/>
  <c r="AA52" i="25"/>
  <c r="AA22" i="25"/>
  <c r="Y48" i="25"/>
  <c r="Z48" i="25" s="1"/>
  <c r="X55" i="23"/>
  <c r="V56" i="23"/>
  <c r="AB32" i="23"/>
  <c r="AC32" i="23" s="1"/>
  <c r="AA32" i="23"/>
  <c r="X38" i="23"/>
  <c r="V39" i="23"/>
  <c r="AB9" i="23"/>
  <c r="AC9" i="23" s="1"/>
  <c r="AA9" i="23"/>
  <c r="AB13" i="23"/>
  <c r="AC13" i="23" s="1"/>
  <c r="AA13" i="23"/>
  <c r="AB24" i="23"/>
  <c r="AC24" i="23" s="1"/>
  <c r="AA24" i="23"/>
  <c r="AB28" i="23"/>
  <c r="AC28" i="23" s="1"/>
  <c r="AA28" i="23"/>
  <c r="AB42" i="23"/>
  <c r="AC42" i="23" s="1"/>
  <c r="AA42" i="23"/>
  <c r="AB47" i="23"/>
  <c r="AC47" i="23" s="1"/>
  <c r="AA47" i="23"/>
  <c r="AB57" i="23"/>
  <c r="AC57" i="23" s="1"/>
  <c r="AA57" i="23"/>
  <c r="AB59" i="23"/>
  <c r="AC59" i="23" s="1"/>
  <c r="AA59" i="23"/>
  <c r="AB61" i="23"/>
  <c r="AC61" i="23" s="1"/>
  <c r="AA61" i="23"/>
  <c r="AB63" i="23"/>
  <c r="AC63" i="23" s="1"/>
  <c r="AA63" i="23"/>
  <c r="AB65" i="23"/>
  <c r="AC65" i="23" s="1"/>
  <c r="AA65" i="23"/>
  <c r="AB68" i="23"/>
  <c r="AC68" i="23" s="1"/>
  <c r="AA68" i="23"/>
  <c r="K7" i="25"/>
  <c r="H32" i="25"/>
  <c r="Q8" i="25"/>
  <c r="P8" i="25"/>
  <c r="O8" i="25"/>
  <c r="Q18" i="25"/>
  <c r="P18" i="25"/>
  <c r="O18" i="25"/>
  <c r="I33" i="25"/>
  <c r="J33" i="25" s="1"/>
  <c r="K33" i="25"/>
  <c r="Y46" i="25"/>
  <c r="Z46" i="25" s="1"/>
  <c r="Y52" i="25"/>
  <c r="Z52" i="25" s="1"/>
  <c r="Q7" i="25"/>
  <c r="O7" i="25"/>
  <c r="P7" i="25"/>
  <c r="G35" i="25"/>
  <c r="N35" i="25" s="1"/>
  <c r="Q33" i="25"/>
  <c r="P33" i="25"/>
  <c r="O33" i="25"/>
  <c r="I8" i="25"/>
  <c r="J8" i="25" s="1"/>
  <c r="I18" i="25"/>
  <c r="J18" i="25" s="1"/>
  <c r="G32" i="25"/>
  <c r="N32" i="25" s="1"/>
  <c r="W9" i="25"/>
  <c r="AA9" i="25" s="1"/>
  <c r="W12" i="25"/>
  <c r="AA12" i="25" s="1"/>
  <c r="X14" i="25"/>
  <c r="W16" i="25"/>
  <c r="Y16" i="25" s="1"/>
  <c r="Z16" i="25" s="1"/>
  <c r="X18" i="25"/>
  <c r="W20" i="25"/>
  <c r="Y20" i="25" s="1"/>
  <c r="Z20" i="25" s="1"/>
  <c r="W44" i="25"/>
  <c r="Y44" i="25" s="1"/>
  <c r="Z44" i="25" s="1"/>
  <c r="G10" i="25"/>
  <c r="N10" i="25" s="1"/>
  <c r="F36" i="25"/>
  <c r="K24" i="23"/>
  <c r="K46" i="23"/>
  <c r="K52" i="23"/>
  <c r="Q7" i="23"/>
  <c r="P7" i="23"/>
  <c r="I8" i="23"/>
  <c r="J8" i="23" s="1"/>
  <c r="K8" i="23"/>
  <c r="AA6" i="23"/>
  <c r="AC6" i="23"/>
  <c r="G43" i="23"/>
  <c r="N43" i="23" s="1"/>
  <c r="F53" i="23"/>
  <c r="L41" i="23" s="1"/>
  <c r="M41" i="23" s="1"/>
  <c r="K7" i="23"/>
  <c r="O8" i="23"/>
  <c r="P8" i="23"/>
  <c r="Q8" i="23"/>
  <c r="P24" i="23"/>
  <c r="Q24" i="23"/>
  <c r="O24" i="23"/>
  <c r="P46" i="23"/>
  <c r="Q46" i="23"/>
  <c r="O46" i="23"/>
  <c r="O52" i="23"/>
  <c r="P52" i="23"/>
  <c r="Q52" i="23"/>
  <c r="Y28" i="23"/>
  <c r="Z28" i="23" s="1"/>
  <c r="Y61" i="23"/>
  <c r="Z61" i="23" s="1"/>
  <c r="Y65" i="23"/>
  <c r="Z65" i="23" s="1"/>
  <c r="Y13" i="23"/>
  <c r="Z13" i="23" s="1"/>
  <c r="Y47" i="23"/>
  <c r="Z47" i="23" s="1"/>
  <c r="AG29" i="19"/>
  <c r="AE29" i="19"/>
  <c r="AF29" i="19"/>
  <c r="AF32" i="19"/>
  <c r="AG32" i="19"/>
  <c r="AE32" i="19"/>
  <c r="E7" i="36" s="1"/>
  <c r="AG34" i="19"/>
  <c r="AE34" i="19"/>
  <c r="AF34" i="19"/>
  <c r="AA29" i="19"/>
  <c r="AA32" i="19"/>
  <c r="AA34" i="19"/>
  <c r="G7" i="21"/>
  <c r="F43" i="21"/>
  <c r="K7" i="19"/>
  <c r="F25" i="19"/>
  <c r="K19" i="19"/>
  <c r="K20" i="19"/>
  <c r="X18" i="19"/>
  <c r="V19" i="19"/>
  <c r="W14" i="19"/>
  <c r="AD14" i="19" s="1"/>
  <c r="V15" i="19"/>
  <c r="AC6" i="19"/>
  <c r="AC12" i="19"/>
  <c r="Y10" i="19"/>
  <c r="Z10" i="19" s="1"/>
  <c r="G12" i="19"/>
  <c r="N12" i="19" s="1"/>
  <c r="Y6" i="19"/>
  <c r="Z6" i="19" s="1"/>
  <c r="Y8" i="19"/>
  <c r="Y12" i="19"/>
  <c r="Y29" i="19"/>
  <c r="Y32" i="19"/>
  <c r="Y34" i="19"/>
  <c r="P8" i="15"/>
  <c r="Q8" i="15"/>
  <c r="F26" i="15"/>
  <c r="AG14" i="15"/>
  <c r="AF21" i="15"/>
  <c r="AE21" i="15"/>
  <c r="AG21" i="15"/>
  <c r="AG6" i="15"/>
  <c r="AF6" i="15"/>
  <c r="AE6" i="15"/>
  <c r="Q19" i="15"/>
  <c r="P19" i="15"/>
  <c r="Q20" i="15"/>
  <c r="P20" i="15"/>
  <c r="O20" i="15"/>
  <c r="AG19" i="15"/>
  <c r="AF19" i="15"/>
  <c r="AE19" i="15"/>
  <c r="AG24" i="15"/>
  <c r="AF24" i="15"/>
  <c r="AE24" i="15"/>
  <c r="AF29" i="15"/>
  <c r="AE29" i="15"/>
  <c r="AG29" i="15"/>
  <c r="AG33" i="15"/>
  <c r="AF33" i="15"/>
  <c r="AE33" i="15"/>
  <c r="AG35" i="15"/>
  <c r="AF35" i="15"/>
  <c r="AE35" i="15"/>
  <c r="Q13" i="15"/>
  <c r="P13" i="15"/>
  <c r="AA14" i="15"/>
  <c r="K19" i="15"/>
  <c r="K8" i="15"/>
  <c r="K20" i="15"/>
  <c r="Y35" i="15"/>
  <c r="Z35" i="15" s="1"/>
  <c r="AA35" i="15"/>
  <c r="AA19" i="15"/>
  <c r="AA24" i="15"/>
  <c r="AA29" i="15"/>
  <c r="AA33" i="15"/>
  <c r="Y21" i="15"/>
  <c r="Z21" i="15" s="1"/>
  <c r="AA21" i="15"/>
  <c r="Y6" i="15"/>
  <c r="Z6" i="15" s="1"/>
  <c r="AA6" i="15"/>
  <c r="Y19" i="15"/>
  <c r="Z19" i="15" s="1"/>
  <c r="Y24" i="15"/>
  <c r="Z24" i="15" s="1"/>
  <c r="Y29" i="15"/>
  <c r="Z29" i="15" s="1"/>
  <c r="Y33" i="15"/>
  <c r="Z33" i="15" s="1"/>
  <c r="W9" i="15"/>
  <c r="W12" i="15"/>
  <c r="Y6" i="23"/>
  <c r="Z6" i="23" s="1"/>
  <c r="Y24" i="23"/>
  <c r="Z24" i="23" s="1"/>
  <c r="Y32" i="23"/>
  <c r="Z32" i="23" s="1"/>
  <c r="Y42" i="23"/>
  <c r="Z42" i="23" s="1"/>
  <c r="Y59" i="23"/>
  <c r="Z59" i="23" s="1"/>
  <c r="I52" i="23"/>
  <c r="J52" i="23" s="1"/>
  <c r="W38" i="23"/>
  <c r="Y38" i="23" s="1"/>
  <c r="Z38" i="23" s="1"/>
  <c r="W55" i="23"/>
  <c r="Y55" i="23" s="1"/>
  <c r="Z55" i="23" s="1"/>
  <c r="H33" i="21"/>
  <c r="H42" i="21"/>
  <c r="H7" i="21"/>
  <c r="I7" i="21" s="1"/>
  <c r="J7" i="21" s="1"/>
  <c r="X20" i="19"/>
  <c r="W20" i="19"/>
  <c r="AD20" i="19" s="1"/>
  <c r="X14" i="19"/>
  <c r="W18" i="19"/>
  <c r="X36" i="21"/>
  <c r="W36" i="21"/>
  <c r="AD36" i="21" s="1"/>
  <c r="X57" i="21"/>
  <c r="W57" i="21"/>
  <c r="AD57" i="21" s="1"/>
  <c r="W6" i="21"/>
  <c r="X6" i="21"/>
  <c r="X9" i="21"/>
  <c r="W9" i="21"/>
  <c r="I9" i="21"/>
  <c r="J9" i="21" s="1"/>
  <c r="X47" i="21"/>
  <c r="W47" i="21"/>
  <c r="AD47" i="21" s="1"/>
  <c r="X45" i="21"/>
  <c r="W45" i="21"/>
  <c r="AD45" i="21" s="1"/>
  <c r="X17" i="21"/>
  <c r="W17" i="21"/>
  <c r="W41" i="21"/>
  <c r="AD41" i="21" s="1"/>
  <c r="X41" i="21"/>
  <c r="Y28" i="27"/>
  <c r="Z28" i="27" s="1"/>
  <c r="Y21" i="27"/>
  <c r="Z21" i="27" s="1"/>
  <c r="Y32" i="27"/>
  <c r="Z32" i="27" s="1"/>
  <c r="Y35" i="27"/>
  <c r="Z35" i="27" s="1"/>
  <c r="Y11" i="27"/>
  <c r="Z11" i="27" s="1"/>
  <c r="Y16" i="27"/>
  <c r="Z16" i="27" s="1"/>
  <c r="Y30" i="27"/>
  <c r="Z30" i="27" s="1"/>
  <c r="Y6" i="27"/>
  <c r="Z6" i="27" s="1"/>
  <c r="I25" i="27"/>
  <c r="J25" i="27" s="1"/>
  <c r="I11" i="27"/>
  <c r="J11" i="27" s="1"/>
  <c r="I6" i="27"/>
  <c r="J6" i="27" s="1"/>
  <c r="Y9" i="25"/>
  <c r="Z9" i="25" s="1"/>
  <c r="H10" i="25"/>
  <c r="H35" i="25"/>
  <c r="K35" i="25" s="1"/>
  <c r="Y7" i="25"/>
  <c r="Z7" i="25" s="1"/>
  <c r="Y54" i="25"/>
  <c r="Z54" i="25" s="1"/>
  <c r="Y56" i="25"/>
  <c r="Z56" i="25" s="1"/>
  <c r="Y22" i="25"/>
  <c r="Z22" i="25" s="1"/>
  <c r="Y38" i="25"/>
  <c r="Z38" i="25" s="1"/>
  <c r="I35" i="25"/>
  <c r="J35" i="25" s="1"/>
  <c r="I32" i="25"/>
  <c r="J32" i="25" s="1"/>
  <c r="I7" i="25"/>
  <c r="J7" i="25" s="1"/>
  <c r="Y57" i="23"/>
  <c r="Z57" i="23" s="1"/>
  <c r="Y63" i="23"/>
  <c r="Z63" i="23" s="1"/>
  <c r="I24" i="23"/>
  <c r="J24" i="23" s="1"/>
  <c r="G33" i="21"/>
  <c r="N33" i="21" s="1"/>
  <c r="G38" i="21"/>
  <c r="N38" i="21" s="1"/>
  <c r="G42" i="21"/>
  <c r="H43" i="23"/>
  <c r="I7" i="23"/>
  <c r="J7" i="23" s="1"/>
  <c r="Y68" i="23"/>
  <c r="Z68" i="23" s="1"/>
  <c r="Y9" i="23"/>
  <c r="Z9" i="23" s="1"/>
  <c r="I46" i="23"/>
  <c r="J46" i="23" s="1"/>
  <c r="Y47" i="21"/>
  <c r="Z47" i="21" s="1"/>
  <c r="Y28" i="21"/>
  <c r="Z28" i="21" s="1"/>
  <c r="I38" i="21"/>
  <c r="J38" i="21" s="1"/>
  <c r="H12" i="19"/>
  <c r="I24" i="19"/>
  <c r="J24" i="19" s="1"/>
  <c r="I20" i="19"/>
  <c r="J20" i="19" s="1"/>
  <c r="I19" i="19"/>
  <c r="J19" i="19" s="1"/>
  <c r="I7" i="19"/>
  <c r="J7" i="19" s="1"/>
  <c r="H25" i="15"/>
  <c r="I13" i="15"/>
  <c r="J13" i="15" s="1"/>
  <c r="I8" i="15"/>
  <c r="J8" i="15" s="1"/>
  <c r="I19" i="15"/>
  <c r="J19" i="15" s="1"/>
  <c r="I20" i="15"/>
  <c r="J20" i="15" s="1"/>
  <c r="G25" i="15"/>
  <c r="N25" i="15" s="1"/>
  <c r="B42" i="3"/>
  <c r="D25" i="34" l="1"/>
  <c r="C25" i="34"/>
  <c r="E10" i="34"/>
  <c r="AF14" i="19"/>
  <c r="AG14" i="19"/>
  <c r="AE14" i="19"/>
  <c r="D31" i="34"/>
  <c r="C31" i="34"/>
  <c r="C29" i="34"/>
  <c r="D29" i="34"/>
  <c r="V23" i="19"/>
  <c r="X22" i="19"/>
  <c r="AB22" i="19" s="1"/>
  <c r="AC22" i="19" s="1"/>
  <c r="E15" i="34"/>
  <c r="AG20" i="19"/>
  <c r="AE20" i="19"/>
  <c r="AF20" i="19"/>
  <c r="AB18" i="19"/>
  <c r="AC18" i="19" s="1"/>
  <c r="AA18" i="19"/>
  <c r="D33" i="34"/>
  <c r="C33" i="34"/>
  <c r="Y18" i="19"/>
  <c r="Z18" i="19" s="1"/>
  <c r="AD18" i="19"/>
  <c r="D35" i="34"/>
  <c r="C35" i="34"/>
  <c r="AB14" i="19"/>
  <c r="AC14" i="19" s="1"/>
  <c r="AA14" i="19"/>
  <c r="L8" i="19"/>
  <c r="M8" i="19" s="1"/>
  <c r="L23" i="19"/>
  <c r="AB20" i="19"/>
  <c r="AC20" i="19" s="1"/>
  <c r="AA20" i="19"/>
  <c r="C7" i="36"/>
  <c r="D7" i="36"/>
  <c r="AJ29" i="45"/>
  <c r="AJ28" i="53"/>
  <c r="AK28" i="49"/>
  <c r="AL28" i="49"/>
  <c r="AJ29" i="49"/>
  <c r="AJ28" i="48"/>
  <c r="AJ28" i="47"/>
  <c r="AA41" i="21"/>
  <c r="AB41" i="21"/>
  <c r="AC41" i="21" s="1"/>
  <c r="E41" i="36"/>
  <c r="AG45" i="21"/>
  <c r="AF45" i="21"/>
  <c r="AE45" i="21"/>
  <c r="AE47" i="21"/>
  <c r="AF47" i="21"/>
  <c r="AG47" i="21"/>
  <c r="AA57" i="21"/>
  <c r="AB57" i="21"/>
  <c r="AC57" i="21" s="1"/>
  <c r="AE41" i="21"/>
  <c r="E38" i="36"/>
  <c r="AF41" i="21"/>
  <c r="AG41" i="21"/>
  <c r="AB45" i="21"/>
  <c r="AC45" i="21" s="1"/>
  <c r="AA45" i="21"/>
  <c r="AB47" i="21"/>
  <c r="AC47" i="21" s="1"/>
  <c r="AA47" i="21"/>
  <c r="E49" i="36"/>
  <c r="AF57" i="21"/>
  <c r="AE57" i="21"/>
  <c r="AG57" i="21"/>
  <c r="AA36" i="21"/>
  <c r="AB36" i="21"/>
  <c r="AC36" i="21" s="1"/>
  <c r="AE36" i="21"/>
  <c r="E27" i="36"/>
  <c r="AG36" i="21"/>
  <c r="AF36" i="21"/>
  <c r="I42" i="21"/>
  <c r="J42" i="21" s="1"/>
  <c r="N42" i="21"/>
  <c r="Q38" i="21"/>
  <c r="P38" i="21"/>
  <c r="O38" i="21"/>
  <c r="K42" i="21"/>
  <c r="K38" i="21"/>
  <c r="L8" i="21"/>
  <c r="M8" i="21" s="1"/>
  <c r="L10" i="21"/>
  <c r="M10" i="21" s="1"/>
  <c r="L12" i="21"/>
  <c r="M12" i="21" s="1"/>
  <c r="L14" i="21"/>
  <c r="M14" i="21" s="1"/>
  <c r="L16" i="21"/>
  <c r="M16" i="21" s="1"/>
  <c r="L18" i="21"/>
  <c r="M18" i="21" s="1"/>
  <c r="L20" i="21"/>
  <c r="M20" i="21" s="1"/>
  <c r="L22" i="21"/>
  <c r="M22" i="21" s="1"/>
  <c r="L24" i="21"/>
  <c r="M24" i="21" s="1"/>
  <c r="L26" i="21"/>
  <c r="M26" i="21" s="1"/>
  <c r="L28" i="21"/>
  <c r="M28" i="21" s="1"/>
  <c r="L30" i="21"/>
  <c r="M30" i="21" s="1"/>
  <c r="L32" i="21"/>
  <c r="M32" i="21" s="1"/>
  <c r="L34" i="21"/>
  <c r="M34" i="21" s="1"/>
  <c r="L36" i="21"/>
  <c r="M36" i="21" s="1"/>
  <c r="L38" i="21"/>
  <c r="M38" i="21" s="1"/>
  <c r="L40" i="21"/>
  <c r="M40" i="21" s="1"/>
  <c r="L42" i="21"/>
  <c r="M42" i="21" s="1"/>
  <c r="L7" i="21"/>
  <c r="M7" i="21" s="1"/>
  <c r="L9" i="21"/>
  <c r="M9" i="21" s="1"/>
  <c r="L11" i="21"/>
  <c r="M11" i="21" s="1"/>
  <c r="L13" i="21"/>
  <c r="M13" i="21" s="1"/>
  <c r="L15" i="21"/>
  <c r="M15" i="21" s="1"/>
  <c r="L17" i="21"/>
  <c r="M17" i="21" s="1"/>
  <c r="L19" i="21"/>
  <c r="M19" i="21" s="1"/>
  <c r="L21" i="21"/>
  <c r="M21" i="21" s="1"/>
  <c r="L23" i="21"/>
  <c r="M23" i="21" s="1"/>
  <c r="L25" i="21"/>
  <c r="M25" i="21" s="1"/>
  <c r="L27" i="21"/>
  <c r="M27" i="21" s="1"/>
  <c r="L29" i="21"/>
  <c r="M29" i="21" s="1"/>
  <c r="L31" i="21"/>
  <c r="M31" i="21" s="1"/>
  <c r="L33" i="21"/>
  <c r="M33" i="21" s="1"/>
  <c r="L35" i="21"/>
  <c r="M35" i="21" s="1"/>
  <c r="L37" i="21"/>
  <c r="M37" i="21" s="1"/>
  <c r="L39" i="21"/>
  <c r="M39" i="21" s="1"/>
  <c r="L41" i="21"/>
  <c r="M41" i="21" s="1"/>
  <c r="L6" i="21"/>
  <c r="M6" i="21" s="1"/>
  <c r="P33" i="21"/>
  <c r="Q33" i="21"/>
  <c r="O33" i="21"/>
  <c r="K33" i="21"/>
  <c r="C10" i="42"/>
  <c r="D9" i="42"/>
  <c r="C9" i="42"/>
  <c r="D10" i="42"/>
  <c r="C12" i="42"/>
  <c r="D15" i="42"/>
  <c r="C15" i="42"/>
  <c r="D12" i="42"/>
  <c r="O17" i="27"/>
  <c r="Q17" i="27"/>
  <c r="P17" i="27"/>
  <c r="C7" i="42"/>
  <c r="D7" i="42"/>
  <c r="Q8" i="27"/>
  <c r="O8" i="27"/>
  <c r="P8" i="27"/>
  <c r="C22" i="38"/>
  <c r="D22" i="38"/>
  <c r="C24" i="36"/>
  <c r="D24" i="36"/>
  <c r="B22" i="38"/>
  <c r="A23" i="38"/>
  <c r="A25" i="36"/>
  <c r="B24" i="36"/>
  <c r="E11" i="32"/>
  <c r="AB12" i="15"/>
  <c r="AC12" i="15" s="1"/>
  <c r="AE14" i="15"/>
  <c r="AF14" i="15"/>
  <c r="AB9" i="15"/>
  <c r="AC9" i="15" s="1"/>
  <c r="A26" i="32"/>
  <c r="B25" i="32"/>
  <c r="B10" i="32"/>
  <c r="AA44" i="25"/>
  <c r="Y18" i="25"/>
  <c r="Z18" i="25" s="1"/>
  <c r="AA18" i="25"/>
  <c r="Y14" i="25"/>
  <c r="Z14" i="25" s="1"/>
  <c r="AA14" i="25"/>
  <c r="AA16" i="25"/>
  <c r="AA20" i="25"/>
  <c r="AE28" i="23"/>
  <c r="AF28" i="23"/>
  <c r="AE61" i="23"/>
  <c r="AF61" i="23"/>
  <c r="AB38" i="23"/>
  <c r="AC38" i="23" s="1"/>
  <c r="AA38" i="23"/>
  <c r="AB55" i="23"/>
  <c r="AC55" i="23" s="1"/>
  <c r="AA55" i="23"/>
  <c r="I10" i="25"/>
  <c r="J10" i="25" s="1"/>
  <c r="K10" i="25"/>
  <c r="L7" i="25"/>
  <c r="M7" i="25" s="1"/>
  <c r="L11" i="25"/>
  <c r="M11" i="25" s="1"/>
  <c r="L13" i="25"/>
  <c r="M13" i="25" s="1"/>
  <c r="L15" i="25"/>
  <c r="M15" i="25" s="1"/>
  <c r="L17" i="25"/>
  <c r="M17" i="25" s="1"/>
  <c r="L19" i="25"/>
  <c r="M19" i="25" s="1"/>
  <c r="L23" i="25"/>
  <c r="M23" i="25" s="1"/>
  <c r="L25" i="25"/>
  <c r="M25" i="25" s="1"/>
  <c r="L27" i="25"/>
  <c r="M27" i="25" s="1"/>
  <c r="L29" i="25"/>
  <c r="M29" i="25" s="1"/>
  <c r="L31" i="25"/>
  <c r="M31" i="25" s="1"/>
  <c r="L33" i="25"/>
  <c r="M33" i="25" s="1"/>
  <c r="L35" i="25"/>
  <c r="M35" i="25" s="1"/>
  <c r="L8" i="25"/>
  <c r="M8" i="25" s="1"/>
  <c r="L10" i="25"/>
  <c r="M10" i="25" s="1"/>
  <c r="L12" i="25"/>
  <c r="M12" i="25" s="1"/>
  <c r="L14" i="25"/>
  <c r="M14" i="25" s="1"/>
  <c r="L16" i="25"/>
  <c r="M16" i="25" s="1"/>
  <c r="L18" i="25"/>
  <c r="M18" i="25" s="1"/>
  <c r="L20" i="25"/>
  <c r="M20" i="25" s="1"/>
  <c r="L22" i="25"/>
  <c r="M22" i="25" s="1"/>
  <c r="L24" i="25"/>
  <c r="M24" i="25" s="1"/>
  <c r="L26" i="25"/>
  <c r="M26" i="25" s="1"/>
  <c r="L28" i="25"/>
  <c r="M28" i="25" s="1"/>
  <c r="L30" i="25"/>
  <c r="M30" i="25" s="1"/>
  <c r="L32" i="25"/>
  <c r="M32" i="25" s="1"/>
  <c r="L6" i="25"/>
  <c r="M6" i="25" s="1"/>
  <c r="Q35" i="25"/>
  <c r="P35" i="25"/>
  <c r="O35" i="25"/>
  <c r="K32" i="25"/>
  <c r="Q10" i="25"/>
  <c r="P10" i="25"/>
  <c r="O10" i="25"/>
  <c r="Q32" i="25"/>
  <c r="P32" i="25"/>
  <c r="O32" i="25"/>
  <c r="L34" i="25"/>
  <c r="M34" i="25" s="1"/>
  <c r="L9" i="25"/>
  <c r="M9" i="25" s="1"/>
  <c r="L21" i="25"/>
  <c r="M21" i="25" s="1"/>
  <c r="I43" i="23"/>
  <c r="J43" i="23" s="1"/>
  <c r="K43" i="23"/>
  <c r="L42" i="23"/>
  <c r="M42" i="23" s="1"/>
  <c r="O43" i="23"/>
  <c r="P43" i="23"/>
  <c r="Q43" i="23"/>
  <c r="L7" i="23"/>
  <c r="M7" i="23" s="1"/>
  <c r="L8" i="23"/>
  <c r="M8" i="23" s="1"/>
  <c r="L16" i="23"/>
  <c r="M16" i="23" s="1"/>
  <c r="L24" i="23"/>
  <c r="M24" i="23" s="1"/>
  <c r="L32" i="23"/>
  <c r="M32" i="23" s="1"/>
  <c r="L39" i="23"/>
  <c r="M39" i="23" s="1"/>
  <c r="L43" i="23"/>
  <c r="M43" i="23" s="1"/>
  <c r="L47" i="23"/>
  <c r="M47" i="23" s="1"/>
  <c r="L51" i="23"/>
  <c r="M51" i="23" s="1"/>
  <c r="L6" i="23"/>
  <c r="M6" i="23" s="1"/>
  <c r="L12" i="23"/>
  <c r="M12" i="23" s="1"/>
  <c r="L20" i="23"/>
  <c r="M20" i="23" s="1"/>
  <c r="L28" i="23"/>
  <c r="M28" i="23" s="1"/>
  <c r="L36" i="23"/>
  <c r="M36" i="23" s="1"/>
  <c r="L45" i="23"/>
  <c r="M45" i="23" s="1"/>
  <c r="L49" i="23"/>
  <c r="M49" i="23" s="1"/>
  <c r="L52" i="23"/>
  <c r="M52" i="23" s="1"/>
  <c r="L48" i="23"/>
  <c r="M48" i="23" s="1"/>
  <c r="L44" i="23"/>
  <c r="M44" i="23" s="1"/>
  <c r="L40" i="23"/>
  <c r="M40" i="23" s="1"/>
  <c r="L34" i="23"/>
  <c r="M34" i="23" s="1"/>
  <c r="L26" i="23"/>
  <c r="M26" i="23" s="1"/>
  <c r="L18" i="23"/>
  <c r="M18" i="23" s="1"/>
  <c r="L10" i="23"/>
  <c r="M10" i="23" s="1"/>
  <c r="L35" i="23"/>
  <c r="M35" i="23" s="1"/>
  <c r="L31" i="23"/>
  <c r="M31" i="23" s="1"/>
  <c r="L27" i="23"/>
  <c r="M27" i="23" s="1"/>
  <c r="L23" i="23"/>
  <c r="M23" i="23" s="1"/>
  <c r="L19" i="23"/>
  <c r="M19" i="23" s="1"/>
  <c r="L15" i="23"/>
  <c r="M15" i="23" s="1"/>
  <c r="L11" i="23"/>
  <c r="M11" i="23" s="1"/>
  <c r="L50" i="23"/>
  <c r="M50" i="23" s="1"/>
  <c r="L46" i="23"/>
  <c r="M46" i="23" s="1"/>
  <c r="L38" i="23"/>
  <c r="M38" i="23" s="1"/>
  <c r="L30" i="23"/>
  <c r="M30" i="23" s="1"/>
  <c r="L22" i="23"/>
  <c r="M22" i="23" s="1"/>
  <c r="L14" i="23"/>
  <c r="M14" i="23" s="1"/>
  <c r="L37" i="23"/>
  <c r="M37" i="23" s="1"/>
  <c r="L33" i="23"/>
  <c r="M33" i="23" s="1"/>
  <c r="L29" i="23"/>
  <c r="M29" i="23" s="1"/>
  <c r="L25" i="23"/>
  <c r="M25" i="23" s="1"/>
  <c r="L21" i="23"/>
  <c r="M21" i="23" s="1"/>
  <c r="L17" i="23"/>
  <c r="M17" i="23" s="1"/>
  <c r="L13" i="23"/>
  <c r="M13" i="23" s="1"/>
  <c r="L9" i="23"/>
  <c r="M9" i="23" s="1"/>
  <c r="AF22" i="19"/>
  <c r="AG22" i="19"/>
  <c r="AE22" i="19"/>
  <c r="AA22" i="19"/>
  <c r="Y57" i="21"/>
  <c r="Z57" i="21" s="1"/>
  <c r="Y9" i="21"/>
  <c r="Z9" i="21" s="1"/>
  <c r="I12" i="19"/>
  <c r="J12" i="19" s="1"/>
  <c r="K12" i="19"/>
  <c r="L9" i="19"/>
  <c r="M9" i="19" s="1"/>
  <c r="L10" i="19"/>
  <c r="M10" i="19" s="1"/>
  <c r="L12" i="19"/>
  <c r="M12" i="19" s="1"/>
  <c r="L14" i="19"/>
  <c r="M14" i="19" s="1"/>
  <c r="L16" i="19"/>
  <c r="M16" i="19" s="1"/>
  <c r="L18" i="19"/>
  <c r="M18" i="19" s="1"/>
  <c r="L20" i="19"/>
  <c r="M20" i="19" s="1"/>
  <c r="L22" i="19"/>
  <c r="M22" i="19" s="1"/>
  <c r="L24" i="19"/>
  <c r="M24" i="19" s="1"/>
  <c r="L7" i="19"/>
  <c r="M7" i="19" s="1"/>
  <c r="L11" i="19"/>
  <c r="M11" i="19" s="1"/>
  <c r="L13" i="19"/>
  <c r="M13" i="19" s="1"/>
  <c r="L15" i="19"/>
  <c r="M15" i="19" s="1"/>
  <c r="L17" i="19"/>
  <c r="M17" i="19" s="1"/>
  <c r="L19" i="19"/>
  <c r="M19" i="19" s="1"/>
  <c r="L21" i="19"/>
  <c r="M21" i="19" s="1"/>
  <c r="M23" i="19"/>
  <c r="L6" i="19"/>
  <c r="M6" i="19" s="1"/>
  <c r="Z34" i="19"/>
  <c r="Z29" i="19"/>
  <c r="Z8" i="19"/>
  <c r="Y14" i="19"/>
  <c r="Z32" i="19"/>
  <c r="Z12" i="19"/>
  <c r="Y20" i="19"/>
  <c r="L11" i="15"/>
  <c r="M11" i="15" s="1"/>
  <c r="L15" i="15"/>
  <c r="M15" i="15" s="1"/>
  <c r="L21" i="15"/>
  <c r="M21" i="15" s="1"/>
  <c r="L25" i="15"/>
  <c r="M25" i="15" s="1"/>
  <c r="L10" i="15"/>
  <c r="M10" i="15" s="1"/>
  <c r="L12" i="15"/>
  <c r="M12" i="15" s="1"/>
  <c r="L14" i="15"/>
  <c r="M14" i="15" s="1"/>
  <c r="L16" i="15"/>
  <c r="M16" i="15" s="1"/>
  <c r="L18" i="15"/>
  <c r="M18" i="15" s="1"/>
  <c r="L20" i="15"/>
  <c r="M20" i="15" s="1"/>
  <c r="L22" i="15"/>
  <c r="M22" i="15" s="1"/>
  <c r="L7" i="15"/>
  <c r="M7" i="15" s="1"/>
  <c r="L8" i="15"/>
  <c r="M8" i="15" s="1"/>
  <c r="L9" i="15"/>
  <c r="M9" i="15" s="1"/>
  <c r="L13" i="15"/>
  <c r="M13" i="15" s="1"/>
  <c r="L17" i="15"/>
  <c r="M17" i="15" s="1"/>
  <c r="L19" i="15"/>
  <c r="M19" i="15" s="1"/>
  <c r="L6" i="15"/>
  <c r="M6" i="15" s="1"/>
  <c r="L24" i="15"/>
  <c r="M24" i="15" s="1"/>
  <c r="L23" i="15"/>
  <c r="M23" i="15" s="1"/>
  <c r="Q25" i="15"/>
  <c r="P25" i="15"/>
  <c r="Y9" i="15"/>
  <c r="Z9" i="15" s="1"/>
  <c r="AD9" i="15"/>
  <c r="E32" i="32" s="1"/>
  <c r="Y12" i="15"/>
  <c r="Z12" i="15" s="1"/>
  <c r="AD12" i="15"/>
  <c r="E35" i="32" s="1"/>
  <c r="AA9" i="15"/>
  <c r="K25" i="15"/>
  <c r="AA12" i="15"/>
  <c r="O19" i="15"/>
  <c r="O13" i="15"/>
  <c r="O8" i="15"/>
  <c r="I33" i="21"/>
  <c r="J33" i="21" s="1"/>
  <c r="Y45" i="21"/>
  <c r="Z45" i="21" s="1"/>
  <c r="Y36" i="21"/>
  <c r="Z36" i="21" s="1"/>
  <c r="Y41" i="21"/>
  <c r="Z41" i="21" s="1"/>
  <c r="Y17" i="21"/>
  <c r="Z17" i="21" s="1"/>
  <c r="Y6" i="21"/>
  <c r="Z6" i="21" s="1"/>
  <c r="Y12" i="25"/>
  <c r="Z12" i="25" s="1"/>
  <c r="I25" i="15"/>
  <c r="J25" i="15" s="1"/>
  <c r="F24" i="14"/>
  <c r="B25" i="14"/>
  <c r="F11" i="14"/>
  <c r="B24" i="14"/>
  <c r="F8" i="14"/>
  <c r="B23" i="14"/>
  <c r="F23" i="14"/>
  <c r="B22" i="14"/>
  <c r="F22" i="14"/>
  <c r="B21" i="14"/>
  <c r="F21" i="14"/>
  <c r="B20" i="14"/>
  <c r="F17" i="14"/>
  <c r="B19" i="14"/>
  <c r="F16" i="14"/>
  <c r="B18" i="14"/>
  <c r="F20" i="14"/>
  <c r="B17" i="14"/>
  <c r="F25" i="14"/>
  <c r="B16" i="14"/>
  <c r="F15" i="14"/>
  <c r="B15" i="14"/>
  <c r="F7" i="14"/>
  <c r="B14" i="14"/>
  <c r="F6" i="14"/>
  <c r="B13" i="14"/>
  <c r="F14" i="14"/>
  <c r="B12" i="14"/>
  <c r="F13" i="14"/>
  <c r="B11" i="14"/>
  <c r="F19" i="14"/>
  <c r="B10" i="14"/>
  <c r="F18" i="14"/>
  <c r="B9" i="14"/>
  <c r="F10" i="14"/>
  <c r="B8" i="14"/>
  <c r="F9" i="14"/>
  <c r="B7" i="14"/>
  <c r="F12" i="14"/>
  <c r="B6" i="14"/>
  <c r="F5" i="14"/>
  <c r="F32" i="13"/>
  <c r="F31" i="13"/>
  <c r="B34" i="13"/>
  <c r="F30" i="13"/>
  <c r="B33" i="13"/>
  <c r="F29" i="13"/>
  <c r="B32" i="13"/>
  <c r="F7" i="13"/>
  <c r="B31" i="13"/>
  <c r="F35" i="13"/>
  <c r="B30" i="13"/>
  <c r="F28" i="13"/>
  <c r="B29" i="13"/>
  <c r="F18" i="13"/>
  <c r="B28" i="13"/>
  <c r="F34" i="13"/>
  <c r="B27" i="13"/>
  <c r="F27" i="13"/>
  <c r="B26" i="13"/>
  <c r="F26" i="13"/>
  <c r="B25" i="13"/>
  <c r="F17" i="13"/>
  <c r="B24" i="13"/>
  <c r="F8" i="13"/>
  <c r="B23" i="13"/>
  <c r="F16" i="13"/>
  <c r="B22" i="13"/>
  <c r="F33" i="13"/>
  <c r="B21" i="13"/>
  <c r="F15" i="13"/>
  <c r="B20" i="13"/>
  <c r="F25" i="13"/>
  <c r="B19" i="13"/>
  <c r="F24" i="13"/>
  <c r="B18" i="13"/>
  <c r="F23" i="13"/>
  <c r="B17" i="13"/>
  <c r="F22" i="13"/>
  <c r="B16" i="13"/>
  <c r="F21" i="13"/>
  <c r="B15" i="13"/>
  <c r="F10" i="13"/>
  <c r="B14" i="13"/>
  <c r="F14" i="13"/>
  <c r="B13" i="13"/>
  <c r="F13" i="13"/>
  <c r="B12" i="13"/>
  <c r="F12" i="13"/>
  <c r="B11" i="13"/>
  <c r="F11" i="13"/>
  <c r="B10" i="13"/>
  <c r="F6" i="13"/>
  <c r="B9" i="13"/>
  <c r="F20" i="13"/>
  <c r="B8" i="13"/>
  <c r="F19" i="13"/>
  <c r="B7" i="13"/>
  <c r="F9" i="13"/>
  <c r="B6" i="13"/>
  <c r="F5" i="13"/>
  <c r="F13" i="11"/>
  <c r="F39" i="11"/>
  <c r="F41" i="11"/>
  <c r="F33" i="11"/>
  <c r="F23" i="11"/>
  <c r="F24" i="11"/>
  <c r="F25" i="11"/>
  <c r="F10" i="11"/>
  <c r="F7" i="11"/>
  <c r="F34" i="11"/>
  <c r="F14" i="11"/>
  <c r="F26" i="11"/>
  <c r="F37" i="11"/>
  <c r="F38" i="11"/>
  <c r="F27" i="11"/>
  <c r="F28" i="11"/>
  <c r="F29" i="11"/>
  <c r="F30" i="11"/>
  <c r="F42" i="11"/>
  <c r="B6" i="11"/>
  <c r="B7" i="11"/>
  <c r="B8" i="11"/>
  <c r="B9" i="11"/>
  <c r="B10" i="11"/>
  <c r="B11" i="11"/>
  <c r="B12" i="11"/>
  <c r="B13" i="11"/>
  <c r="B14" i="11"/>
  <c r="B15" i="11"/>
  <c r="B16" i="11"/>
  <c r="B17" i="11"/>
  <c r="B18" i="11"/>
  <c r="B19" i="11"/>
  <c r="B20" i="11"/>
  <c r="B21" i="11"/>
  <c r="B22" i="11"/>
  <c r="B23" i="11"/>
  <c r="B24" i="11"/>
  <c r="B25" i="11"/>
  <c r="B26" i="11"/>
  <c r="B27" i="11"/>
  <c r="B28" i="11"/>
  <c r="B29" i="11"/>
  <c r="B30" i="11"/>
  <c r="B31" i="11"/>
  <c r="B32" i="11"/>
  <c r="B33" i="11"/>
  <c r="B34" i="11"/>
  <c r="B35" i="11"/>
  <c r="B36" i="11"/>
  <c r="B37" i="11"/>
  <c r="B38" i="11"/>
  <c r="F5" i="7"/>
  <c r="F15" i="11"/>
  <c r="F32" i="11"/>
  <c r="F9" i="11"/>
  <c r="F36" i="11"/>
  <c r="F8" i="11"/>
  <c r="F40" i="11"/>
  <c r="F12" i="11"/>
  <c r="F22" i="11"/>
  <c r="F21" i="11"/>
  <c r="F31" i="11"/>
  <c r="F20" i="11"/>
  <c r="F19" i="11"/>
  <c r="F18" i="11"/>
  <c r="F35" i="11"/>
  <c r="F11" i="11"/>
  <c r="F17" i="11"/>
  <c r="F16" i="11"/>
  <c r="F6" i="11"/>
  <c r="F5" i="11"/>
  <c r="F20" i="10"/>
  <c r="F13" i="10"/>
  <c r="F14" i="10"/>
  <c r="F15" i="10"/>
  <c r="F9" i="10"/>
  <c r="F10" i="10"/>
  <c r="F6" i="10"/>
  <c r="F21" i="10"/>
  <c r="F11" i="10"/>
  <c r="F16" i="10"/>
  <c r="F17" i="10"/>
  <c r="F18" i="10"/>
  <c r="F22" i="10"/>
  <c r="F23" i="10"/>
  <c r="F24" i="10"/>
  <c r="F12" i="10"/>
  <c r="F19" i="10"/>
  <c r="F7" i="10"/>
  <c r="F8" i="10"/>
  <c r="B7" i="10"/>
  <c r="B8" i="10"/>
  <c r="B9" i="10"/>
  <c r="B10" i="10"/>
  <c r="B11" i="10"/>
  <c r="B12" i="10"/>
  <c r="B13" i="10"/>
  <c r="B14" i="10"/>
  <c r="B15" i="10"/>
  <c r="B16" i="10"/>
  <c r="B17" i="10"/>
  <c r="B18" i="10"/>
  <c r="B19" i="10"/>
  <c r="B20" i="10"/>
  <c r="B21" i="10"/>
  <c r="B22" i="10"/>
  <c r="B23" i="10"/>
  <c r="F5" i="10"/>
  <c r="B6" i="10"/>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8" i="4"/>
  <c r="A9" i="4"/>
  <c r="A10" i="4"/>
  <c r="A11" i="4"/>
  <c r="A12" i="4"/>
  <c r="A13" i="4"/>
  <c r="A14" i="4"/>
  <c r="A15" i="4"/>
  <c r="A16" i="4"/>
  <c r="A17" i="4"/>
  <c r="A18" i="4"/>
  <c r="A19"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7" i="5"/>
  <c r="A7" i="4"/>
  <c r="B6" i="3"/>
  <c r="F25" i="7"/>
  <c r="F19" i="7"/>
  <c r="F24" i="7"/>
  <c r="F20" i="7"/>
  <c r="F8" i="7"/>
  <c r="F13" i="7"/>
  <c r="F23" i="7"/>
  <c r="F18" i="7"/>
  <c r="F12" i="7"/>
  <c r="F17" i="7"/>
  <c r="F11" i="7"/>
  <c r="F7" i="7"/>
  <c r="F22" i="7"/>
  <c r="F16" i="7"/>
  <c r="F10" i="7"/>
  <c r="F15" i="7"/>
  <c r="F21" i="7"/>
  <c r="F14" i="7"/>
  <c r="F6" i="7"/>
  <c r="F9" i="7"/>
  <c r="B7" i="7"/>
  <c r="B8" i="7"/>
  <c r="B9" i="7"/>
  <c r="B10" i="7"/>
  <c r="B11" i="7"/>
  <c r="B12" i="7"/>
  <c r="B13" i="7"/>
  <c r="B14" i="7"/>
  <c r="B15" i="7"/>
  <c r="B16" i="7"/>
  <c r="B17" i="7"/>
  <c r="B18" i="7"/>
  <c r="B19" i="7"/>
  <c r="B20" i="7"/>
  <c r="B21" i="7"/>
  <c r="B22" i="7"/>
  <c r="B6" i="7"/>
  <c r="C15" i="34" l="1"/>
  <c r="D15" i="34"/>
  <c r="Y22" i="19"/>
  <c r="C10" i="34"/>
  <c r="D10" i="34"/>
  <c r="E12" i="34"/>
  <c r="AG18" i="19"/>
  <c r="AE18" i="19"/>
  <c r="AF18" i="19"/>
  <c r="AJ30" i="45"/>
  <c r="AJ29" i="53"/>
  <c r="AL29" i="49"/>
  <c r="AK29" i="49"/>
  <c r="AJ30" i="49"/>
  <c r="AJ29" i="48"/>
  <c r="AJ29" i="47"/>
  <c r="C38" i="36"/>
  <c r="D38" i="36"/>
  <c r="C39" i="36"/>
  <c r="D39" i="36"/>
  <c r="C49" i="36"/>
  <c r="D49" i="36"/>
  <c r="D50" i="36"/>
  <c r="C50" i="36"/>
  <c r="C51" i="36"/>
  <c r="D51" i="36"/>
  <c r="C41" i="36"/>
  <c r="D41" i="36"/>
  <c r="C42" i="36"/>
  <c r="D42" i="36"/>
  <c r="D43" i="36"/>
  <c r="C43" i="36"/>
  <c r="C27" i="36"/>
  <c r="D27" i="36"/>
  <c r="D28" i="36"/>
  <c r="C28" i="36"/>
  <c r="D29" i="36"/>
  <c r="C29" i="36"/>
  <c r="D31" i="36"/>
  <c r="D30" i="36"/>
  <c r="C31" i="36"/>
  <c r="C30" i="36"/>
  <c r="Q42" i="21"/>
  <c r="P42" i="21"/>
  <c r="O42" i="21"/>
  <c r="D23" i="38"/>
  <c r="C23" i="38"/>
  <c r="D25" i="36"/>
  <c r="C25" i="36"/>
  <c r="B23" i="38"/>
  <c r="A24" i="38"/>
  <c r="A32" i="36"/>
  <c r="B25" i="36"/>
  <c r="A26" i="36"/>
  <c r="C33" i="32"/>
  <c r="C32" i="32"/>
  <c r="D33" i="32"/>
  <c r="D32" i="32"/>
  <c r="D36" i="32"/>
  <c r="C35" i="32"/>
  <c r="D35" i="32"/>
  <c r="C36" i="32"/>
  <c r="C11" i="32"/>
  <c r="D11" i="32"/>
  <c r="A27" i="32"/>
  <c r="B27" i="32" s="1"/>
  <c r="B26" i="32"/>
  <c r="AF42" i="23"/>
  <c r="AE42" i="23"/>
  <c r="AE47" i="23"/>
  <c r="AF47" i="23"/>
  <c r="AF32" i="23"/>
  <c r="AE32" i="23"/>
  <c r="AE38" i="23"/>
  <c r="AF38" i="23"/>
  <c r="AF24" i="23"/>
  <c r="AE24" i="23"/>
  <c r="AF63" i="23"/>
  <c r="AE63" i="23"/>
  <c r="AE13" i="23"/>
  <c r="AF13" i="23"/>
  <c r="AF55" i="23"/>
  <c r="AE55" i="23"/>
  <c r="AG68" i="23"/>
  <c r="AG63" i="23"/>
  <c r="AG59" i="23"/>
  <c r="AG55" i="23"/>
  <c r="AG42" i="23"/>
  <c r="AG32" i="23"/>
  <c r="AG24" i="23"/>
  <c r="AG9" i="23"/>
  <c r="AE6" i="23"/>
  <c r="AG65" i="23"/>
  <c r="AG61" i="23"/>
  <c r="AG57" i="23"/>
  <c r="AG47" i="23"/>
  <c r="AG38" i="23"/>
  <c r="AG28" i="23"/>
  <c r="AG13" i="23"/>
  <c r="AG6" i="23"/>
  <c r="AF6" i="23"/>
  <c r="AF59" i="23"/>
  <c r="AE59" i="23"/>
  <c r="AE57" i="23"/>
  <c r="AF57" i="23"/>
  <c r="AF9" i="23"/>
  <c r="AE9" i="23"/>
  <c r="AF68" i="23"/>
  <c r="AE68" i="23"/>
  <c r="AE65" i="23"/>
  <c r="AF65" i="23"/>
  <c r="P20" i="19"/>
  <c r="Q20" i="19"/>
  <c r="O20" i="19"/>
  <c r="P12" i="19"/>
  <c r="Q12" i="19"/>
  <c r="O12" i="19"/>
  <c r="Q19" i="19"/>
  <c r="O19" i="19"/>
  <c r="P19" i="19"/>
  <c r="Q7" i="19"/>
  <c r="O7" i="19"/>
  <c r="P7" i="19"/>
  <c r="Q24" i="19"/>
  <c r="O24" i="19"/>
  <c r="P24" i="19"/>
  <c r="Z14" i="19"/>
  <c r="Z22" i="19"/>
  <c r="Z20" i="19"/>
  <c r="AG12" i="15"/>
  <c r="AF12" i="15"/>
  <c r="AE12" i="15"/>
  <c r="AF9" i="15"/>
  <c r="AE9" i="15"/>
  <c r="AG9" i="15"/>
  <c r="O25" i="15"/>
  <c r="B9" i="1"/>
  <c r="B8" i="1"/>
  <c r="B25" i="1"/>
  <c r="B26" i="1"/>
  <c r="B24" i="1"/>
  <c r="B23" i="1"/>
  <c r="B22" i="1"/>
  <c r="B21" i="1"/>
  <c r="B20" i="1"/>
  <c r="B19" i="1"/>
  <c r="B18" i="1"/>
  <c r="B17" i="1"/>
  <c r="B16" i="1"/>
  <c r="B15" i="1"/>
  <c r="B14" i="1"/>
  <c r="B13" i="1"/>
  <c r="B12" i="1"/>
  <c r="B11" i="1"/>
  <c r="B10" i="1"/>
  <c r="A10" i="1" s="1"/>
  <c r="B7" i="1"/>
  <c r="B6" i="1"/>
  <c r="B24" i="2"/>
  <c r="A24" i="2" s="1"/>
  <c r="B23" i="2"/>
  <c r="A23" i="2" s="1"/>
  <c r="B22" i="2"/>
  <c r="B21" i="2"/>
  <c r="B20" i="2"/>
  <c r="A20" i="2" s="1"/>
  <c r="B19" i="2"/>
  <c r="A19" i="2" s="1"/>
  <c r="B18" i="2"/>
  <c r="B17" i="2"/>
  <c r="B16" i="2"/>
  <c r="A16" i="2" s="1"/>
  <c r="B15" i="2"/>
  <c r="A15" i="2" s="1"/>
  <c r="B14" i="2"/>
  <c r="B13" i="2"/>
  <c r="B12" i="2"/>
  <c r="A12" i="2" s="1"/>
  <c r="B11" i="2"/>
  <c r="A11" i="2" s="1"/>
  <c r="B10" i="2"/>
  <c r="B9" i="2"/>
  <c r="B8" i="2"/>
  <c r="A8" i="2" s="1"/>
  <c r="B7" i="2"/>
  <c r="A7" i="2" s="1"/>
  <c r="B6" i="2"/>
  <c r="B7" i="3"/>
  <c r="A7" i="3" s="1"/>
  <c r="B8" i="3"/>
  <c r="B9" i="3"/>
  <c r="B10" i="3"/>
  <c r="A10" i="3" s="1"/>
  <c r="B11" i="3"/>
  <c r="A11" i="3" s="1"/>
  <c r="B12" i="3"/>
  <c r="B13" i="3"/>
  <c r="B14" i="3"/>
  <c r="A14" i="3" s="1"/>
  <c r="B15" i="3"/>
  <c r="A15" i="3" s="1"/>
  <c r="B16" i="3"/>
  <c r="B17" i="3"/>
  <c r="B18" i="3"/>
  <c r="B19" i="3"/>
  <c r="A20" i="3" s="1"/>
  <c r="B20" i="3"/>
  <c r="B21" i="3"/>
  <c r="B22" i="3"/>
  <c r="A22" i="3" s="1"/>
  <c r="B23" i="3"/>
  <c r="A23" i="3" s="1"/>
  <c r="B24" i="3"/>
  <c r="B25" i="3"/>
  <c r="B26" i="3"/>
  <c r="A26" i="3" s="1"/>
  <c r="B27" i="3"/>
  <c r="A27" i="3" s="1"/>
  <c r="B28" i="3"/>
  <c r="B29" i="3"/>
  <c r="B30" i="3"/>
  <c r="A30" i="3" s="1"/>
  <c r="B31" i="3"/>
  <c r="A31" i="3" s="1"/>
  <c r="B32" i="3"/>
  <c r="B33" i="3"/>
  <c r="B34" i="3"/>
  <c r="A34" i="3" s="1"/>
  <c r="B35" i="3"/>
  <c r="A35" i="3" s="1"/>
  <c r="B36" i="3"/>
  <c r="B37" i="3"/>
  <c r="B38" i="3"/>
  <c r="A38" i="3" s="1"/>
  <c r="B39" i="3"/>
  <c r="A39" i="3" s="1"/>
  <c r="B40" i="3"/>
  <c r="B41" i="3"/>
  <c r="B43" i="3"/>
  <c r="A43" i="3" s="1"/>
  <c r="B44" i="3"/>
  <c r="A44" i="3" s="1"/>
  <c r="B45" i="3"/>
  <c r="B46" i="3"/>
  <c r="B47" i="3"/>
  <c r="A47" i="3" s="1"/>
  <c r="B48" i="3"/>
  <c r="A48" i="3" s="1"/>
  <c r="B37" i="4"/>
  <c r="B38" i="4"/>
  <c r="B39" i="4"/>
  <c r="B40" i="4"/>
  <c r="B41" i="4"/>
  <c r="B42" i="4"/>
  <c r="B43" i="4"/>
  <c r="B44" i="4"/>
  <c r="B45" i="4"/>
  <c r="B46" i="4"/>
  <c r="B47" i="4"/>
  <c r="B48" i="4"/>
  <c r="B49" i="4"/>
  <c r="B50" i="4"/>
  <c r="B51" i="4"/>
  <c r="B52" i="4"/>
  <c r="B53" i="4"/>
  <c r="B36" i="4"/>
  <c r="B35" i="4"/>
  <c r="B34" i="4"/>
  <c r="B33" i="4"/>
  <c r="B32" i="4"/>
  <c r="B31" i="4"/>
  <c r="B30" i="4"/>
  <c r="B29" i="4"/>
  <c r="B28" i="4"/>
  <c r="B27" i="4"/>
  <c r="B26" i="4"/>
  <c r="B25" i="4"/>
  <c r="B24" i="4"/>
  <c r="B23" i="4"/>
  <c r="B22" i="4"/>
  <c r="B21" i="4"/>
  <c r="A22" i="4" s="1"/>
  <c r="B20" i="4"/>
  <c r="B19" i="4"/>
  <c r="B18" i="4"/>
  <c r="B17" i="4"/>
  <c r="B16" i="4"/>
  <c r="B15" i="4"/>
  <c r="B14" i="4"/>
  <c r="B13" i="4"/>
  <c r="B12" i="4"/>
  <c r="B11" i="4"/>
  <c r="B10" i="4"/>
  <c r="B9" i="4"/>
  <c r="B8" i="4"/>
  <c r="B7" i="4"/>
  <c r="B6" i="4"/>
  <c r="B7" i="5"/>
  <c r="B8" i="5"/>
  <c r="B9" i="5"/>
  <c r="B10" i="5"/>
  <c r="B11" i="5"/>
  <c r="B12" i="5"/>
  <c r="B13" i="5"/>
  <c r="B14" i="5"/>
  <c r="B15" i="5"/>
  <c r="B16" i="5"/>
  <c r="B17" i="5"/>
  <c r="B18" i="5"/>
  <c r="B19" i="5"/>
  <c r="B20" i="5"/>
  <c r="B21" i="5"/>
  <c r="B22" i="5"/>
  <c r="B23" i="5"/>
  <c r="B24" i="5"/>
  <c r="B25" i="5"/>
  <c r="B26" i="5"/>
  <c r="B27" i="5"/>
  <c r="B28" i="5"/>
  <c r="B29" i="5"/>
  <c r="B30" i="5"/>
  <c r="B31" i="5"/>
  <c r="B32" i="5"/>
  <c r="B33" i="5"/>
  <c r="B34" i="5"/>
  <c r="B35" i="5"/>
  <c r="B36" i="5"/>
  <c r="B6" i="5"/>
  <c r="B6" i="6"/>
  <c r="B7" i="6"/>
  <c r="B8" i="6"/>
  <c r="A8" i="6" s="1"/>
  <c r="B9" i="6"/>
  <c r="B10" i="6"/>
  <c r="A10" i="6" s="1"/>
  <c r="B11" i="6"/>
  <c r="B12" i="6"/>
  <c r="A12" i="6" s="1"/>
  <c r="B13" i="6"/>
  <c r="B14" i="6"/>
  <c r="A14" i="6" s="1"/>
  <c r="B15" i="6"/>
  <c r="B16" i="6"/>
  <c r="A16" i="6" s="1"/>
  <c r="B17" i="6"/>
  <c r="B18" i="6"/>
  <c r="A18" i="6" s="1"/>
  <c r="B19" i="6"/>
  <c r="B20" i="6"/>
  <c r="A20" i="6" s="1"/>
  <c r="B21" i="6"/>
  <c r="B22" i="6"/>
  <c r="A22" i="6" s="1"/>
  <c r="B23" i="6"/>
  <c r="B24" i="6"/>
  <c r="A24" i="6" s="1"/>
  <c r="B25" i="6"/>
  <c r="A46" i="3" l="1"/>
  <c r="A41" i="3"/>
  <c r="A42" i="3"/>
  <c r="A37" i="3"/>
  <c r="A33" i="3"/>
  <c r="A29" i="3"/>
  <c r="A25" i="3"/>
  <c r="A21" i="3"/>
  <c r="A17" i="3"/>
  <c r="A13" i="3"/>
  <c r="A9" i="3"/>
  <c r="A45" i="3"/>
  <c r="A40" i="3"/>
  <c r="A36" i="3"/>
  <c r="A32" i="3"/>
  <c r="A28" i="3"/>
  <c r="A24" i="3"/>
  <c r="A16" i="3"/>
  <c r="A12" i="3"/>
  <c r="A8" i="3"/>
  <c r="D12" i="34"/>
  <c r="C12" i="34"/>
  <c r="AJ31" i="45"/>
  <c r="AJ30" i="53"/>
  <c r="AL30" i="49"/>
  <c r="AK30" i="49"/>
  <c r="AJ31" i="49"/>
  <c r="AJ30" i="48"/>
  <c r="AJ30" i="47"/>
  <c r="A13" i="6"/>
  <c r="A23" i="6"/>
  <c r="A19" i="6"/>
  <c r="A15" i="6"/>
  <c r="A11" i="6"/>
  <c r="A7" i="6"/>
  <c r="A25" i="6"/>
  <c r="A21" i="6"/>
  <c r="A17" i="6"/>
  <c r="A9" i="6"/>
  <c r="D24" i="38"/>
  <c r="C24" i="38"/>
  <c r="D32" i="36"/>
  <c r="C32" i="36"/>
  <c r="B24" i="38"/>
  <c r="A25" i="38"/>
  <c r="B25" i="38" s="1"/>
  <c r="B32" i="36"/>
  <c r="A33" i="36"/>
  <c r="A22" i="1"/>
  <c r="A9" i="1"/>
  <c r="A15" i="1"/>
  <c r="A8" i="1"/>
  <c r="A12" i="1"/>
  <c r="A25" i="1"/>
  <c r="A14" i="1"/>
  <c r="A16" i="1"/>
  <c r="A18" i="1"/>
  <c r="A20" i="1"/>
  <c r="A24" i="1"/>
  <c r="A7" i="1"/>
  <c r="A11" i="1"/>
  <c r="A13" i="1"/>
  <c r="A17" i="1"/>
  <c r="A19" i="1"/>
  <c r="A21" i="1"/>
  <c r="A23" i="1"/>
  <c r="A26" i="1"/>
  <c r="A20" i="4"/>
  <c r="A21" i="4"/>
  <c r="A18" i="3"/>
  <c r="A19" i="3"/>
  <c r="A9" i="2"/>
  <c r="A13" i="2"/>
  <c r="A17" i="2"/>
  <c r="A21" i="2"/>
  <c r="A10" i="2"/>
  <c r="A14" i="2"/>
  <c r="A18" i="2"/>
  <c r="A22" i="2"/>
  <c r="AJ32" i="45" l="1"/>
  <c r="AJ31" i="53"/>
  <c r="AK31" i="49"/>
  <c r="AL31" i="49"/>
  <c r="AJ32" i="49"/>
  <c r="AJ31" i="48"/>
  <c r="AJ31" i="47"/>
  <c r="D33" i="36"/>
  <c r="C33" i="36"/>
  <c r="B33" i="36"/>
  <c r="A34" i="36"/>
  <c r="AJ33" i="45" l="1"/>
  <c r="AJ32" i="53"/>
  <c r="AK32" i="49"/>
  <c r="AL32" i="49"/>
  <c r="AJ33" i="49"/>
  <c r="AJ32" i="48"/>
  <c r="AJ32" i="47"/>
  <c r="D34" i="36"/>
  <c r="C34" i="36"/>
  <c r="B34" i="36"/>
  <c r="A35" i="36"/>
  <c r="B35" i="36" s="1"/>
  <c r="AJ34" i="45" l="1"/>
  <c r="AJ33" i="53"/>
  <c r="AL33" i="49"/>
  <c r="AK33" i="49"/>
  <c r="AJ34" i="49"/>
  <c r="AJ33" i="48"/>
  <c r="AJ33" i="47"/>
  <c r="AJ35" i="45" l="1"/>
  <c r="AJ34" i="53"/>
  <c r="AL34" i="49"/>
  <c r="AK34" i="49"/>
  <c r="AJ35" i="49"/>
  <c r="AJ34" i="48"/>
  <c r="AJ34" i="47"/>
  <c r="AJ36" i="45" l="1"/>
  <c r="AJ35" i="53"/>
  <c r="AK35" i="49"/>
  <c r="AL35" i="49"/>
  <c r="AJ36" i="49"/>
  <c r="AJ35" i="48"/>
  <c r="AJ35" i="47"/>
  <c r="AJ37" i="45" l="1"/>
  <c r="AJ36" i="53"/>
  <c r="AK36" i="49"/>
  <c r="AL36" i="49"/>
  <c r="AJ37" i="49"/>
  <c r="AJ36" i="48"/>
  <c r="AJ36" i="47"/>
  <c r="AJ38" i="45" l="1"/>
  <c r="AJ37" i="53"/>
  <c r="AL37" i="49"/>
  <c r="AK37" i="49"/>
  <c r="AJ38" i="49"/>
  <c r="AJ37" i="48"/>
  <c r="AJ37" i="47"/>
  <c r="AJ39" i="45" l="1"/>
  <c r="AJ38" i="53"/>
  <c r="AL38" i="49"/>
  <c r="AK38" i="49"/>
  <c r="AJ39" i="49"/>
  <c r="AJ38" i="48"/>
  <c r="AJ38" i="47"/>
  <c r="AJ40" i="45" l="1"/>
  <c r="AJ39" i="53"/>
  <c r="AK39" i="49"/>
  <c r="AL39" i="49"/>
  <c r="AJ40" i="49"/>
  <c r="AJ39" i="48"/>
  <c r="AJ39" i="47"/>
  <c r="AJ41" i="45" l="1"/>
  <c r="AJ40" i="53"/>
  <c r="AK40" i="49"/>
  <c r="AL40" i="49"/>
  <c r="AJ41" i="49"/>
  <c r="AJ40" i="48"/>
  <c r="AJ40" i="47"/>
  <c r="AJ42" i="45" l="1"/>
  <c r="AJ41" i="53"/>
  <c r="AL41" i="49"/>
  <c r="AK41" i="49"/>
  <c r="AJ42" i="49"/>
  <c r="AJ41" i="48"/>
  <c r="AJ41" i="47"/>
  <c r="AJ43" i="45" l="1"/>
  <c r="AJ42" i="53"/>
  <c r="AL42" i="49"/>
  <c r="AK42" i="49"/>
  <c r="AJ43" i="49"/>
  <c r="AJ42" i="48"/>
  <c r="AJ42" i="47"/>
  <c r="AJ44" i="45" l="1"/>
  <c r="AJ43" i="53"/>
  <c r="AK43" i="49"/>
  <c r="AL43" i="49"/>
  <c r="AJ44" i="49"/>
  <c r="AJ43" i="48"/>
  <c r="AJ43" i="47"/>
  <c r="AJ45" i="45" l="1"/>
  <c r="AJ44" i="53"/>
  <c r="AK44" i="49"/>
  <c r="AL44" i="49"/>
  <c r="AJ45" i="49"/>
  <c r="AJ44" i="48"/>
  <c r="AJ44" i="47"/>
  <c r="AJ46" i="45" l="1"/>
  <c r="AJ45" i="53"/>
  <c r="AL45" i="49"/>
  <c r="AK45" i="49"/>
  <c r="AJ46" i="49"/>
  <c r="AJ45" i="48"/>
  <c r="AJ45" i="47"/>
  <c r="AJ47" i="45" l="1"/>
  <c r="AJ46" i="53"/>
  <c r="AL46" i="49"/>
  <c r="AK46" i="49"/>
  <c r="AJ47" i="49"/>
  <c r="AJ46" i="48"/>
  <c r="AJ46" i="47"/>
  <c r="AJ48" i="45" l="1"/>
  <c r="AJ47" i="53"/>
  <c r="AK47" i="49"/>
  <c r="AL47" i="49"/>
  <c r="AJ48" i="49"/>
  <c r="AJ47" i="48"/>
  <c r="AJ47" i="47"/>
  <c r="AJ49" i="45" l="1"/>
  <c r="AJ48" i="53"/>
  <c r="AK48" i="49"/>
  <c r="AL48" i="49"/>
  <c r="AJ49" i="49"/>
  <c r="AJ48" i="48"/>
  <c r="AJ48" i="47"/>
  <c r="AJ50" i="45" l="1"/>
  <c r="AJ49" i="53"/>
  <c r="AL49" i="49"/>
  <c r="AK49" i="49"/>
  <c r="AJ50" i="49"/>
  <c r="AJ49" i="48"/>
  <c r="AJ49" i="47"/>
  <c r="AJ51" i="45" l="1"/>
  <c r="AJ50" i="53"/>
  <c r="AL50" i="49"/>
  <c r="AK50" i="49"/>
  <c r="AJ51" i="49"/>
  <c r="AJ50" i="48"/>
  <c r="AJ50" i="47"/>
  <c r="AJ52" i="45" l="1"/>
  <c r="AJ51" i="53"/>
  <c r="AK51" i="49"/>
  <c r="AL51" i="49"/>
  <c r="AJ52" i="49"/>
  <c r="AJ51" i="48"/>
  <c r="AJ51" i="47"/>
  <c r="AJ53" i="45" l="1"/>
  <c r="AJ52" i="53"/>
  <c r="AK52" i="49"/>
  <c r="AL52" i="49"/>
  <c r="AJ53" i="49"/>
  <c r="AJ52" i="48"/>
  <c r="AJ52" i="47"/>
  <c r="AJ54" i="45" l="1"/>
  <c r="AJ53" i="53"/>
  <c r="AL53" i="49"/>
  <c r="AK53" i="49"/>
  <c r="AJ54" i="49"/>
  <c r="AJ53" i="48"/>
  <c r="AJ53" i="47"/>
  <c r="AJ55" i="45" l="1"/>
  <c r="AJ54" i="53"/>
  <c r="AL54" i="49"/>
  <c r="AK54" i="49"/>
  <c r="AJ55" i="49"/>
  <c r="AJ54" i="48"/>
  <c r="AJ54" i="47"/>
  <c r="AJ56" i="45" l="1"/>
  <c r="AJ55" i="53"/>
  <c r="AK55" i="49"/>
  <c r="AL55" i="49"/>
  <c r="AJ56" i="49"/>
  <c r="AJ55" i="48"/>
  <c r="AJ55" i="47"/>
  <c r="AJ57" i="45" l="1"/>
  <c r="AJ56" i="53"/>
  <c r="AK56" i="49"/>
  <c r="AL56" i="49"/>
  <c r="AJ57" i="49"/>
  <c r="AJ56" i="48"/>
  <c r="AJ56" i="47"/>
  <c r="AJ58" i="45" l="1"/>
  <c r="AJ57" i="53"/>
  <c r="AL57" i="49"/>
  <c r="AK57" i="49"/>
  <c r="AJ58" i="49"/>
  <c r="AJ57" i="48"/>
  <c r="AJ57" i="47"/>
  <c r="AJ59" i="45" l="1"/>
  <c r="AJ58" i="53"/>
  <c r="AL58" i="49"/>
  <c r="AK58" i="49"/>
  <c r="AJ59" i="49"/>
  <c r="AJ58" i="48"/>
  <c r="AJ58" i="47"/>
  <c r="AJ60" i="45" l="1"/>
  <c r="AJ59" i="53"/>
  <c r="AK59" i="49"/>
  <c r="AL59" i="49"/>
  <c r="AJ60" i="49"/>
  <c r="AJ59" i="48"/>
  <c r="AJ59" i="47"/>
  <c r="AJ61" i="45" l="1"/>
  <c r="AJ60" i="53"/>
  <c r="AK60" i="49"/>
  <c r="AL60" i="49"/>
  <c r="AJ61" i="49"/>
  <c r="AJ60" i="48"/>
  <c r="AJ60" i="47"/>
  <c r="AJ62" i="45" l="1"/>
  <c r="AJ61" i="53"/>
  <c r="AL61" i="49"/>
  <c r="AK61" i="49"/>
  <c r="AJ62" i="49"/>
  <c r="AJ61" i="48"/>
  <c r="AJ61" i="47"/>
  <c r="AJ63" i="45" l="1"/>
  <c r="AJ62" i="53"/>
  <c r="AL62" i="49"/>
  <c r="AK62" i="49"/>
  <c r="AJ63" i="49"/>
  <c r="AJ62" i="48"/>
  <c r="AJ62" i="47"/>
  <c r="AJ64" i="45" l="1"/>
  <c r="AJ63" i="53"/>
  <c r="AK63" i="49"/>
  <c r="AL63" i="49"/>
  <c r="AJ64" i="49"/>
  <c r="AJ63" i="48"/>
  <c r="AJ63" i="47"/>
  <c r="AJ65" i="45" l="1"/>
  <c r="AJ64" i="53"/>
  <c r="AK64" i="49"/>
  <c r="AL64" i="49"/>
  <c r="AJ65" i="49"/>
  <c r="AJ64" i="48"/>
  <c r="AJ64" i="47"/>
  <c r="AJ66" i="45" l="1"/>
  <c r="AJ65" i="53"/>
  <c r="AL65" i="49"/>
  <c r="AK65" i="49"/>
  <c r="AJ66" i="49"/>
  <c r="AJ65" i="48"/>
  <c r="AJ65" i="47"/>
  <c r="AJ67" i="45" l="1"/>
  <c r="AJ66" i="53"/>
  <c r="AL66" i="49"/>
  <c r="AK66" i="49"/>
  <c r="AJ67" i="49"/>
  <c r="AJ66" i="48"/>
  <c r="AJ66" i="47"/>
  <c r="AJ68" i="45" l="1"/>
  <c r="AJ67" i="53"/>
  <c r="AK67" i="49"/>
  <c r="AL67" i="49"/>
  <c r="AJ68" i="49"/>
  <c r="AJ67" i="48"/>
  <c r="AJ67" i="47"/>
  <c r="AJ69" i="45" l="1"/>
  <c r="AJ68" i="53"/>
  <c r="AK68" i="49"/>
  <c r="AL68" i="49"/>
  <c r="AJ69" i="49"/>
  <c r="AJ68" i="48"/>
  <c r="AJ68" i="47"/>
  <c r="AJ70" i="45" l="1"/>
  <c r="AJ69" i="53"/>
  <c r="AL69" i="49"/>
  <c r="AK69" i="49"/>
  <c r="AJ70" i="49"/>
  <c r="AJ69" i="48"/>
  <c r="AJ69" i="47"/>
  <c r="AJ71" i="45" l="1"/>
  <c r="AJ70" i="53"/>
  <c r="AK70" i="49"/>
  <c r="AL70" i="49"/>
  <c r="AJ71" i="49"/>
  <c r="AJ70" i="48"/>
  <c r="AJ70" i="47"/>
  <c r="AJ72" i="45" l="1"/>
  <c r="AJ71" i="53"/>
  <c r="AK71" i="49"/>
  <c r="AL71" i="49"/>
  <c r="AJ72" i="49"/>
  <c r="AJ71" i="48"/>
  <c r="AJ71" i="47"/>
  <c r="AJ73" i="45" l="1"/>
  <c r="AJ72" i="53"/>
  <c r="AK72" i="49"/>
  <c r="AL72" i="49"/>
  <c r="AJ73" i="49"/>
  <c r="AJ72" i="48"/>
  <c r="AJ72" i="47"/>
  <c r="AJ74" i="45" l="1"/>
  <c r="AJ73" i="53"/>
  <c r="AL73" i="49"/>
  <c r="AK73" i="49"/>
  <c r="AJ74" i="49"/>
  <c r="AJ73" i="48"/>
  <c r="AJ73" i="47"/>
  <c r="AJ75" i="45" l="1"/>
  <c r="AJ74" i="53"/>
  <c r="AL74" i="49"/>
  <c r="AK74" i="49"/>
  <c r="AJ75" i="49"/>
  <c r="AJ74" i="48"/>
  <c r="AJ74" i="47"/>
  <c r="AJ76" i="45" l="1"/>
  <c r="AJ75" i="53"/>
  <c r="AK75" i="49"/>
  <c r="AL75" i="49"/>
  <c r="AJ76" i="49"/>
  <c r="AJ75" i="48"/>
  <c r="AJ75" i="47"/>
  <c r="AJ77" i="45" l="1"/>
  <c r="AJ76" i="53"/>
  <c r="AK76" i="49"/>
  <c r="AL76" i="49"/>
  <c r="AJ77" i="49"/>
  <c r="AJ76" i="48"/>
  <c r="AJ76" i="47"/>
  <c r="AJ78" i="45" l="1"/>
  <c r="AJ77" i="53"/>
  <c r="AL77" i="49"/>
  <c r="AK77" i="49"/>
  <c r="AJ78" i="49"/>
  <c r="AJ77" i="48"/>
  <c r="AJ77" i="47"/>
  <c r="AJ79" i="45" l="1"/>
  <c r="AJ78" i="53"/>
  <c r="AK78" i="49"/>
  <c r="AL78" i="49"/>
  <c r="AJ79" i="49"/>
  <c r="AJ78" i="48"/>
  <c r="AJ78" i="47"/>
  <c r="AJ79" i="53" l="1"/>
  <c r="AK79" i="49"/>
  <c r="AL79" i="49"/>
  <c r="AJ79" i="48"/>
  <c r="AJ79" i="47"/>
  <c r="AN9" i="72"/>
  <c r="AN10" i="72"/>
  <c r="AN8" i="72"/>
  <c r="AP7" i="72"/>
  <c r="AN7" i="72"/>
  <c r="AO7" i="72" s="1"/>
  <c r="AR7" i="72"/>
  <c r="AS7" i="72" s="1"/>
  <c r="AV7" i="72" s="1"/>
</calcChain>
</file>

<file path=xl/comments1.xml><?xml version="1.0" encoding="utf-8"?>
<comments xmlns="http://schemas.openxmlformats.org/spreadsheetml/2006/main">
  <authors>
    <author>Bruno Neto</author>
  </authors>
  <commentList>
    <comment ref="B2" authorId="0">
      <text>
        <r>
          <rPr>
            <b/>
            <sz val="9"/>
            <color indexed="81"/>
            <rFont val="Tahoma"/>
            <family val="2"/>
          </rPr>
          <t>Bruno Neto:</t>
        </r>
        <r>
          <rPr>
            <sz val="9"/>
            <color indexed="81"/>
            <rFont val="Tahoma"/>
            <family val="2"/>
          </rPr>
          <t xml:space="preserve">
Total de avarias em cada dia!</t>
        </r>
      </text>
    </comment>
    <comment ref="F2" authorId="0">
      <text>
        <r>
          <rPr>
            <b/>
            <sz val="9"/>
            <color indexed="81"/>
            <rFont val="Tahoma"/>
            <family val="2"/>
          </rPr>
          <t>Bruno Neto:</t>
        </r>
        <r>
          <rPr>
            <sz val="9"/>
            <color indexed="81"/>
            <rFont val="Tahoma"/>
            <family val="2"/>
          </rPr>
          <t xml:space="preserve">
Total de avarias em cada local para o mesmo dia.</t>
        </r>
      </text>
    </comment>
  </commentList>
</comments>
</file>

<file path=xl/comments10.xml><?xml version="1.0" encoding="utf-8"?>
<comments xmlns="http://schemas.openxmlformats.org/spreadsheetml/2006/main">
  <authors>
    <author>Bruno Neto</author>
  </authors>
  <commentList>
    <comment ref="B2" authorId="0">
      <text>
        <r>
          <rPr>
            <b/>
            <sz val="9"/>
            <color indexed="81"/>
            <rFont val="Tahoma"/>
            <family val="2"/>
          </rPr>
          <t>Bruno Neto:</t>
        </r>
        <r>
          <rPr>
            <sz val="9"/>
            <color indexed="81"/>
            <rFont val="Tahoma"/>
            <family val="2"/>
          </rPr>
          <t xml:space="preserve">
Total de avarias em cada dia!</t>
        </r>
      </text>
    </comment>
    <comment ref="F2" authorId="0">
      <text>
        <r>
          <rPr>
            <b/>
            <sz val="9"/>
            <color indexed="81"/>
            <rFont val="Tahoma"/>
            <family val="2"/>
          </rPr>
          <t>Bruno Neto:</t>
        </r>
        <r>
          <rPr>
            <sz val="9"/>
            <color indexed="81"/>
            <rFont val="Tahoma"/>
            <family val="2"/>
          </rPr>
          <t xml:space="preserve">
Total de avarias em cada local para o mesmo dia.</t>
        </r>
      </text>
    </comment>
  </commentList>
</comments>
</file>

<file path=xl/comments11.xml><?xml version="1.0" encoding="utf-8"?>
<comments xmlns="http://schemas.openxmlformats.org/spreadsheetml/2006/main">
  <authors>
    <author>Bruno Neto</author>
  </authors>
  <commentList>
    <comment ref="B2" authorId="0">
      <text>
        <r>
          <rPr>
            <b/>
            <sz val="9"/>
            <color indexed="81"/>
            <rFont val="Tahoma"/>
            <family val="2"/>
          </rPr>
          <t>Bruno Neto:</t>
        </r>
        <r>
          <rPr>
            <sz val="9"/>
            <color indexed="81"/>
            <rFont val="Tahoma"/>
            <family val="2"/>
          </rPr>
          <t xml:space="preserve">
Total de avarias em cada local para o mesmo dia.</t>
        </r>
      </text>
    </comment>
    <comment ref="N4" authorId="0">
      <text>
        <r>
          <rPr>
            <b/>
            <sz val="9"/>
            <color indexed="81"/>
            <rFont val="Tahoma"/>
            <charset val="1"/>
          </rPr>
          <t>Bruno Neto:</t>
        </r>
        <r>
          <rPr>
            <sz val="9"/>
            <color indexed="81"/>
            <rFont val="Tahoma"/>
            <charset val="1"/>
          </rPr>
          <t xml:space="preserve">
Lambda=Nº de falhas / Tempo de operação</t>
        </r>
      </text>
    </comment>
    <comment ref="O4" authorId="0">
      <text>
        <r>
          <rPr>
            <b/>
            <sz val="9"/>
            <color indexed="81"/>
            <rFont val="Tahoma"/>
            <family val="2"/>
          </rPr>
          <t>Bruno Neto:</t>
        </r>
        <r>
          <rPr>
            <sz val="9"/>
            <color indexed="81"/>
            <rFont val="Tahoma"/>
            <family val="2"/>
          </rPr>
          <t xml:space="preserve">
f(t)=Lambda*exp(-lambda*tempo)</t>
        </r>
      </text>
    </comment>
    <comment ref="P4" authorId="0">
      <text>
        <r>
          <rPr>
            <b/>
            <sz val="9"/>
            <color indexed="81"/>
            <rFont val="Tahoma"/>
            <family val="2"/>
          </rPr>
          <t>Bruno Neto:</t>
        </r>
        <r>
          <rPr>
            <sz val="9"/>
            <color indexed="81"/>
            <rFont val="Tahoma"/>
            <family val="2"/>
          </rPr>
          <t xml:space="preserve">
F(t)=1-exp(-lambda*tempo)
*Probabilidade de avariar até ao instante t*</t>
        </r>
      </text>
    </comment>
    <comment ref="Q4" authorId="0">
      <text>
        <r>
          <rPr>
            <b/>
            <sz val="9"/>
            <color indexed="81"/>
            <rFont val="Tahoma"/>
            <family val="2"/>
          </rPr>
          <t>Bruno Neto:</t>
        </r>
        <r>
          <rPr>
            <sz val="9"/>
            <color indexed="81"/>
            <rFont val="Tahoma"/>
            <family val="2"/>
          </rPr>
          <t xml:space="preserve">
R(t)=exp(-lmbda*tempo)
*Probabilidade de sobreviver até ao instante t*</t>
        </r>
      </text>
    </comment>
    <comment ref="AD4" authorId="0">
      <text>
        <r>
          <rPr>
            <b/>
            <sz val="9"/>
            <color indexed="81"/>
            <rFont val="Tahoma"/>
            <charset val="1"/>
          </rPr>
          <t>Bruno Neto:</t>
        </r>
        <r>
          <rPr>
            <sz val="9"/>
            <color indexed="81"/>
            <rFont val="Tahoma"/>
            <charset val="1"/>
          </rPr>
          <t xml:space="preserve">
Lambda=Nº de falhas / Tempo de operação</t>
        </r>
      </text>
    </comment>
    <comment ref="AE4" authorId="0">
      <text>
        <r>
          <rPr>
            <b/>
            <sz val="9"/>
            <color indexed="81"/>
            <rFont val="Tahoma"/>
            <family val="2"/>
          </rPr>
          <t>Bruno Neto:</t>
        </r>
        <r>
          <rPr>
            <sz val="9"/>
            <color indexed="81"/>
            <rFont val="Tahoma"/>
            <family val="2"/>
          </rPr>
          <t xml:space="preserve">
f(t)=Lambda*exp(-lambda*tempo)</t>
        </r>
      </text>
    </comment>
    <comment ref="AF4" authorId="0">
      <text>
        <r>
          <rPr>
            <b/>
            <sz val="9"/>
            <color indexed="81"/>
            <rFont val="Tahoma"/>
            <family val="2"/>
          </rPr>
          <t>Bruno Neto:</t>
        </r>
        <r>
          <rPr>
            <sz val="9"/>
            <color indexed="81"/>
            <rFont val="Tahoma"/>
            <family val="2"/>
          </rPr>
          <t xml:space="preserve">
F(t)=1-exp(-lambda*tempo)
*Probabilidade de avariar até ao instante t*</t>
        </r>
      </text>
    </comment>
    <comment ref="AG4" authorId="0">
      <text>
        <r>
          <rPr>
            <b/>
            <sz val="9"/>
            <color indexed="81"/>
            <rFont val="Tahoma"/>
            <family val="2"/>
          </rPr>
          <t>Bruno Neto:</t>
        </r>
        <r>
          <rPr>
            <sz val="9"/>
            <color indexed="81"/>
            <rFont val="Tahoma"/>
            <family val="2"/>
          </rPr>
          <t xml:space="preserve">
R(t)=exp(-lmbda*tempo)
*Probabilidade de sobreviver até ao instante t*</t>
        </r>
      </text>
    </comment>
  </commentList>
</comments>
</file>

<file path=xl/comments12.xml><?xml version="1.0" encoding="utf-8"?>
<comments xmlns="http://schemas.openxmlformats.org/spreadsheetml/2006/main">
  <authors>
    <author>Bruno Neto</author>
  </authors>
  <commentList>
    <comment ref="C5" authorId="0">
      <text>
        <r>
          <rPr>
            <b/>
            <sz val="9"/>
            <color indexed="81"/>
            <rFont val="Tahoma"/>
            <family val="2"/>
          </rPr>
          <t>Bruno Neto:</t>
        </r>
        <r>
          <rPr>
            <sz val="9"/>
            <color indexed="81"/>
            <rFont val="Tahoma"/>
            <family val="2"/>
          </rPr>
          <t xml:space="preserve">
[1-exp(-lambda*t)]</t>
        </r>
      </text>
    </comment>
    <comment ref="D5" authorId="0">
      <text>
        <r>
          <rPr>
            <b/>
            <sz val="9"/>
            <color indexed="81"/>
            <rFont val="Tahoma"/>
            <family val="2"/>
          </rPr>
          <t>Bruno Neto:</t>
        </r>
        <r>
          <rPr>
            <sz val="9"/>
            <color indexed="81"/>
            <rFont val="Tahoma"/>
            <family val="2"/>
          </rPr>
          <t xml:space="preserve">
[exp(-lambda*t)]</t>
        </r>
      </text>
    </comment>
  </commentList>
</comments>
</file>

<file path=xl/comments13.xml><?xml version="1.0" encoding="utf-8"?>
<comments xmlns="http://schemas.openxmlformats.org/spreadsheetml/2006/main">
  <authors>
    <author>Bruno Neto</author>
  </authors>
  <commentList>
    <comment ref="B2" authorId="0">
      <text>
        <r>
          <rPr>
            <b/>
            <sz val="9"/>
            <color indexed="81"/>
            <rFont val="Tahoma"/>
            <family val="2"/>
          </rPr>
          <t>Bruno Neto:</t>
        </r>
        <r>
          <rPr>
            <sz val="9"/>
            <color indexed="81"/>
            <rFont val="Tahoma"/>
            <family val="2"/>
          </rPr>
          <t xml:space="preserve">
Total de avarias em cada dia!</t>
        </r>
      </text>
    </comment>
    <comment ref="F2" authorId="0">
      <text>
        <r>
          <rPr>
            <b/>
            <sz val="9"/>
            <color indexed="81"/>
            <rFont val="Tahoma"/>
            <family val="2"/>
          </rPr>
          <t>Bruno Neto:</t>
        </r>
        <r>
          <rPr>
            <sz val="9"/>
            <color indexed="81"/>
            <rFont val="Tahoma"/>
            <family val="2"/>
          </rPr>
          <t xml:space="preserve">
Total de avarias em cada local para o mesmo dia.</t>
        </r>
      </text>
    </comment>
  </commentList>
</comments>
</file>

<file path=xl/comments14.xml><?xml version="1.0" encoding="utf-8"?>
<comments xmlns="http://schemas.openxmlformats.org/spreadsheetml/2006/main">
  <authors>
    <author>Bruno Neto</author>
  </authors>
  <commentList>
    <comment ref="B2" authorId="0">
      <text>
        <r>
          <rPr>
            <b/>
            <sz val="9"/>
            <color indexed="81"/>
            <rFont val="Tahoma"/>
            <family val="2"/>
          </rPr>
          <t>Bruno Neto:</t>
        </r>
        <r>
          <rPr>
            <sz val="9"/>
            <color indexed="81"/>
            <rFont val="Tahoma"/>
            <family val="2"/>
          </rPr>
          <t xml:space="preserve">
Total de avarias em cada local para o mesmo dia.</t>
        </r>
      </text>
    </comment>
    <comment ref="N4" authorId="0">
      <text>
        <r>
          <rPr>
            <b/>
            <sz val="9"/>
            <color indexed="81"/>
            <rFont val="Tahoma"/>
            <charset val="1"/>
          </rPr>
          <t>Bruno Neto:</t>
        </r>
        <r>
          <rPr>
            <sz val="9"/>
            <color indexed="81"/>
            <rFont val="Tahoma"/>
            <charset val="1"/>
          </rPr>
          <t xml:space="preserve">
Lambda=Nº de falhas / Tempo de operação</t>
        </r>
      </text>
    </comment>
    <comment ref="O4" authorId="0">
      <text>
        <r>
          <rPr>
            <b/>
            <sz val="9"/>
            <color indexed="81"/>
            <rFont val="Tahoma"/>
            <family val="2"/>
          </rPr>
          <t>Bruno Neto:</t>
        </r>
        <r>
          <rPr>
            <sz val="9"/>
            <color indexed="81"/>
            <rFont val="Tahoma"/>
            <family val="2"/>
          </rPr>
          <t xml:space="preserve">
f(t)=Lambda*exp(-lambda*tempo)</t>
        </r>
      </text>
    </comment>
    <comment ref="P4" authorId="0">
      <text>
        <r>
          <rPr>
            <b/>
            <sz val="9"/>
            <color indexed="81"/>
            <rFont val="Tahoma"/>
            <family val="2"/>
          </rPr>
          <t>Bruno Neto:</t>
        </r>
        <r>
          <rPr>
            <sz val="9"/>
            <color indexed="81"/>
            <rFont val="Tahoma"/>
            <family val="2"/>
          </rPr>
          <t xml:space="preserve">
F(t)=1-exp(-lambda*tempo)
*Probabilidade de avariar até ao instante t*</t>
        </r>
      </text>
    </comment>
    <comment ref="Q4" authorId="0">
      <text>
        <r>
          <rPr>
            <b/>
            <sz val="9"/>
            <color indexed="81"/>
            <rFont val="Tahoma"/>
            <family val="2"/>
          </rPr>
          <t>Bruno Neto:</t>
        </r>
        <r>
          <rPr>
            <sz val="9"/>
            <color indexed="81"/>
            <rFont val="Tahoma"/>
            <family val="2"/>
          </rPr>
          <t xml:space="preserve">
R(t)=exp(-lmbda*tempo)
*Probabilidade de sobreviver até ao instante t*</t>
        </r>
      </text>
    </comment>
    <comment ref="AD4" authorId="0">
      <text>
        <r>
          <rPr>
            <b/>
            <sz val="9"/>
            <color indexed="81"/>
            <rFont val="Tahoma"/>
            <charset val="1"/>
          </rPr>
          <t>Bruno Neto:</t>
        </r>
        <r>
          <rPr>
            <sz val="9"/>
            <color indexed="81"/>
            <rFont val="Tahoma"/>
            <charset val="1"/>
          </rPr>
          <t xml:space="preserve">
Lambda=Nº de falhas / Tempo de operação</t>
        </r>
      </text>
    </comment>
    <comment ref="AE4" authorId="0">
      <text>
        <r>
          <rPr>
            <b/>
            <sz val="9"/>
            <color indexed="81"/>
            <rFont val="Tahoma"/>
            <family val="2"/>
          </rPr>
          <t>Bruno Neto:</t>
        </r>
        <r>
          <rPr>
            <sz val="9"/>
            <color indexed="81"/>
            <rFont val="Tahoma"/>
            <family val="2"/>
          </rPr>
          <t xml:space="preserve">
f(t)=Lambda*exp(-lambda*tempo)</t>
        </r>
      </text>
    </comment>
    <comment ref="AF4" authorId="0">
      <text>
        <r>
          <rPr>
            <b/>
            <sz val="9"/>
            <color indexed="81"/>
            <rFont val="Tahoma"/>
            <family val="2"/>
          </rPr>
          <t>Bruno Neto:</t>
        </r>
        <r>
          <rPr>
            <sz val="9"/>
            <color indexed="81"/>
            <rFont val="Tahoma"/>
            <family val="2"/>
          </rPr>
          <t xml:space="preserve">
F(t)=1-exp(-lambda*tempo)
*Probabilidade de avariar até ao instante t*</t>
        </r>
      </text>
    </comment>
    <comment ref="AG4" authorId="0">
      <text>
        <r>
          <rPr>
            <b/>
            <sz val="9"/>
            <color indexed="81"/>
            <rFont val="Tahoma"/>
            <family val="2"/>
          </rPr>
          <t>Bruno Neto:</t>
        </r>
        <r>
          <rPr>
            <sz val="9"/>
            <color indexed="81"/>
            <rFont val="Tahoma"/>
            <family val="2"/>
          </rPr>
          <t xml:space="preserve">
R(t)=exp(-lmbda*tempo)
*Probabilidade de sobreviver até ao instante t*</t>
        </r>
      </text>
    </comment>
  </commentList>
</comments>
</file>

<file path=xl/comments15.xml><?xml version="1.0" encoding="utf-8"?>
<comments xmlns="http://schemas.openxmlformats.org/spreadsheetml/2006/main">
  <authors>
    <author>Bruno Neto</author>
  </authors>
  <commentList>
    <comment ref="C5" authorId="0">
      <text>
        <r>
          <rPr>
            <b/>
            <sz val="9"/>
            <color indexed="81"/>
            <rFont val="Tahoma"/>
            <family val="2"/>
          </rPr>
          <t>Bruno Neto:</t>
        </r>
        <r>
          <rPr>
            <sz val="9"/>
            <color indexed="81"/>
            <rFont val="Tahoma"/>
            <family val="2"/>
          </rPr>
          <t xml:space="preserve">
[1-exp(-lambda*t)]</t>
        </r>
      </text>
    </comment>
    <comment ref="D5" authorId="0">
      <text>
        <r>
          <rPr>
            <b/>
            <sz val="9"/>
            <color indexed="81"/>
            <rFont val="Tahoma"/>
            <family val="2"/>
          </rPr>
          <t>Bruno Neto:</t>
        </r>
        <r>
          <rPr>
            <sz val="9"/>
            <color indexed="81"/>
            <rFont val="Tahoma"/>
            <family val="2"/>
          </rPr>
          <t xml:space="preserve">
[exp(-lambda*t)]</t>
        </r>
      </text>
    </comment>
  </commentList>
</comments>
</file>

<file path=xl/comments16.xml><?xml version="1.0" encoding="utf-8"?>
<comments xmlns="http://schemas.openxmlformats.org/spreadsheetml/2006/main">
  <authors>
    <author>Bruno Neto</author>
  </authors>
  <commentList>
    <comment ref="B2" authorId="0">
      <text>
        <r>
          <rPr>
            <b/>
            <sz val="9"/>
            <color indexed="81"/>
            <rFont val="Tahoma"/>
            <family val="2"/>
          </rPr>
          <t>Bruno Neto:</t>
        </r>
        <r>
          <rPr>
            <sz val="9"/>
            <color indexed="81"/>
            <rFont val="Tahoma"/>
            <family val="2"/>
          </rPr>
          <t xml:space="preserve">
Total de avarias em cada dia!</t>
        </r>
      </text>
    </comment>
    <comment ref="F2" authorId="0">
      <text>
        <r>
          <rPr>
            <b/>
            <sz val="9"/>
            <color indexed="81"/>
            <rFont val="Tahoma"/>
            <family val="2"/>
          </rPr>
          <t>Bruno Neto:</t>
        </r>
        <r>
          <rPr>
            <sz val="9"/>
            <color indexed="81"/>
            <rFont val="Tahoma"/>
            <family val="2"/>
          </rPr>
          <t xml:space="preserve">
Total de avarias em cada local para o mesmo dia.</t>
        </r>
      </text>
    </comment>
  </commentList>
</comments>
</file>

<file path=xl/comments17.xml><?xml version="1.0" encoding="utf-8"?>
<comments xmlns="http://schemas.openxmlformats.org/spreadsheetml/2006/main">
  <authors>
    <author>Bruno Neto</author>
  </authors>
  <commentList>
    <comment ref="B2" authorId="0">
      <text>
        <r>
          <rPr>
            <b/>
            <sz val="9"/>
            <color indexed="81"/>
            <rFont val="Tahoma"/>
            <family val="2"/>
          </rPr>
          <t>Bruno Neto:</t>
        </r>
        <r>
          <rPr>
            <sz val="9"/>
            <color indexed="81"/>
            <rFont val="Tahoma"/>
            <family val="2"/>
          </rPr>
          <t xml:space="preserve">
Total de avarias em cada local para o mesmo dia.</t>
        </r>
      </text>
    </comment>
    <comment ref="S2" authorId="0">
      <text>
        <r>
          <rPr>
            <b/>
            <sz val="9"/>
            <color indexed="81"/>
            <rFont val="Tahoma"/>
            <family val="2"/>
          </rPr>
          <t>Bruno Neto:</t>
        </r>
        <r>
          <rPr>
            <sz val="9"/>
            <color indexed="81"/>
            <rFont val="Tahoma"/>
            <family val="2"/>
          </rPr>
          <t xml:space="preserve">
Total de avarias em cada local para o mesmo dia.</t>
        </r>
      </text>
    </comment>
    <comment ref="N4" authorId="0">
      <text>
        <r>
          <rPr>
            <b/>
            <sz val="9"/>
            <color indexed="81"/>
            <rFont val="Tahoma"/>
            <charset val="1"/>
          </rPr>
          <t>Bruno Neto:</t>
        </r>
        <r>
          <rPr>
            <sz val="9"/>
            <color indexed="81"/>
            <rFont val="Tahoma"/>
            <charset val="1"/>
          </rPr>
          <t xml:space="preserve">
Lambda=Nº de falhas / Tempo de operação</t>
        </r>
      </text>
    </comment>
    <comment ref="O4" authorId="0">
      <text>
        <r>
          <rPr>
            <b/>
            <sz val="9"/>
            <color indexed="81"/>
            <rFont val="Tahoma"/>
            <family val="2"/>
          </rPr>
          <t>Bruno Neto:</t>
        </r>
        <r>
          <rPr>
            <sz val="9"/>
            <color indexed="81"/>
            <rFont val="Tahoma"/>
            <family val="2"/>
          </rPr>
          <t xml:space="preserve">
f(t)=Lambda*exp(-lambda*tempo)</t>
        </r>
      </text>
    </comment>
    <comment ref="P4" authorId="0">
      <text>
        <r>
          <rPr>
            <b/>
            <sz val="9"/>
            <color indexed="81"/>
            <rFont val="Tahoma"/>
            <family val="2"/>
          </rPr>
          <t>Bruno Neto:</t>
        </r>
        <r>
          <rPr>
            <sz val="9"/>
            <color indexed="81"/>
            <rFont val="Tahoma"/>
            <family val="2"/>
          </rPr>
          <t xml:space="preserve">
F(t)=1-exp(-lambda*tempo)
*Probabilidade de avariar até ao instante t*</t>
        </r>
      </text>
    </comment>
    <comment ref="Q4" authorId="0">
      <text>
        <r>
          <rPr>
            <b/>
            <sz val="9"/>
            <color indexed="81"/>
            <rFont val="Tahoma"/>
            <family val="2"/>
          </rPr>
          <t>Bruno Neto:</t>
        </r>
        <r>
          <rPr>
            <sz val="9"/>
            <color indexed="81"/>
            <rFont val="Tahoma"/>
            <family val="2"/>
          </rPr>
          <t xml:space="preserve">
R(t)=exp(-lmbda*tempo)
*Probabilidade de sobreviver até ao instante t*</t>
        </r>
      </text>
    </comment>
    <comment ref="AD4" authorId="0">
      <text>
        <r>
          <rPr>
            <b/>
            <sz val="9"/>
            <color indexed="81"/>
            <rFont val="Tahoma"/>
            <charset val="1"/>
          </rPr>
          <t>Bruno Neto:</t>
        </r>
        <r>
          <rPr>
            <sz val="9"/>
            <color indexed="81"/>
            <rFont val="Tahoma"/>
            <charset val="1"/>
          </rPr>
          <t xml:space="preserve">
Lambda=Nº de falhas / Tempo de operação</t>
        </r>
      </text>
    </comment>
    <comment ref="AE4" authorId="0">
      <text>
        <r>
          <rPr>
            <b/>
            <sz val="9"/>
            <color indexed="81"/>
            <rFont val="Tahoma"/>
            <family val="2"/>
          </rPr>
          <t>Bruno Neto:</t>
        </r>
        <r>
          <rPr>
            <sz val="9"/>
            <color indexed="81"/>
            <rFont val="Tahoma"/>
            <family val="2"/>
          </rPr>
          <t xml:space="preserve">
f(t)=Lambda*exp(-lambda*tempo)</t>
        </r>
      </text>
    </comment>
    <comment ref="AF4" authorId="0">
      <text>
        <r>
          <rPr>
            <b/>
            <sz val="9"/>
            <color indexed="81"/>
            <rFont val="Tahoma"/>
            <family val="2"/>
          </rPr>
          <t>Bruno Neto:</t>
        </r>
        <r>
          <rPr>
            <sz val="9"/>
            <color indexed="81"/>
            <rFont val="Tahoma"/>
            <family val="2"/>
          </rPr>
          <t xml:space="preserve">
F(t)=1-exp(-lambda*tempo)
*Probabilidade de avariar até ao instante t*</t>
        </r>
      </text>
    </comment>
    <comment ref="AG4" authorId="0">
      <text>
        <r>
          <rPr>
            <b/>
            <sz val="9"/>
            <color indexed="81"/>
            <rFont val="Tahoma"/>
            <family val="2"/>
          </rPr>
          <t>Bruno Neto:</t>
        </r>
        <r>
          <rPr>
            <sz val="9"/>
            <color indexed="81"/>
            <rFont val="Tahoma"/>
            <family val="2"/>
          </rPr>
          <t xml:space="preserve">
R(t)=exp(-lmbda*tempo)
*Probabilidade de sobreviver até ao instante t*</t>
        </r>
      </text>
    </comment>
  </commentList>
</comments>
</file>

<file path=xl/comments18.xml><?xml version="1.0" encoding="utf-8"?>
<comments xmlns="http://schemas.openxmlformats.org/spreadsheetml/2006/main">
  <authors>
    <author>Bruno Neto</author>
  </authors>
  <commentList>
    <comment ref="C5" authorId="0">
      <text>
        <r>
          <rPr>
            <b/>
            <sz val="9"/>
            <color indexed="81"/>
            <rFont val="Tahoma"/>
            <family val="2"/>
          </rPr>
          <t>Bruno Neto:</t>
        </r>
        <r>
          <rPr>
            <sz val="9"/>
            <color indexed="81"/>
            <rFont val="Tahoma"/>
            <family val="2"/>
          </rPr>
          <t xml:space="preserve">
[1-exp(-lambda*t)]</t>
        </r>
      </text>
    </comment>
    <comment ref="D5" authorId="0">
      <text>
        <r>
          <rPr>
            <b/>
            <sz val="9"/>
            <color indexed="81"/>
            <rFont val="Tahoma"/>
            <family val="2"/>
          </rPr>
          <t>Bruno Neto:</t>
        </r>
        <r>
          <rPr>
            <sz val="9"/>
            <color indexed="81"/>
            <rFont val="Tahoma"/>
            <family val="2"/>
          </rPr>
          <t xml:space="preserve">
[exp(-lambda*t)]</t>
        </r>
      </text>
    </comment>
  </commentList>
</comments>
</file>

<file path=xl/comments19.xml><?xml version="1.0" encoding="utf-8"?>
<comments xmlns="http://schemas.openxmlformats.org/spreadsheetml/2006/main">
  <authors>
    <author>Bruno Neto</author>
  </authors>
  <commentList>
    <comment ref="B2" authorId="0">
      <text>
        <r>
          <rPr>
            <b/>
            <sz val="9"/>
            <color indexed="81"/>
            <rFont val="Tahoma"/>
            <family val="2"/>
          </rPr>
          <t>Bruno Neto:</t>
        </r>
        <r>
          <rPr>
            <sz val="9"/>
            <color indexed="81"/>
            <rFont val="Tahoma"/>
            <family val="2"/>
          </rPr>
          <t xml:space="preserve">
Total de avarias em cada local para o mesmo dia.</t>
        </r>
      </text>
    </comment>
    <comment ref="M4" authorId="0">
      <text>
        <r>
          <rPr>
            <b/>
            <sz val="9"/>
            <color indexed="81"/>
            <rFont val="Tahoma"/>
            <family val="2"/>
          </rPr>
          <t>Bruno Neto:</t>
        </r>
        <r>
          <rPr>
            <sz val="9"/>
            <color indexed="81"/>
            <rFont val="Tahoma"/>
            <family val="2"/>
          </rPr>
          <t xml:space="preserve">
Para cada intervalo de avaria.</t>
        </r>
      </text>
    </comment>
    <comment ref="N4" authorId="0">
      <text>
        <r>
          <rPr>
            <b/>
            <sz val="9"/>
            <color indexed="81"/>
            <rFont val="Tahoma"/>
            <charset val="1"/>
          </rPr>
          <t>Bruno Neto:</t>
        </r>
        <r>
          <rPr>
            <sz val="9"/>
            <color indexed="81"/>
            <rFont val="Tahoma"/>
            <charset val="1"/>
          </rPr>
          <t xml:space="preserve">
Lambda=Nº de falhas / Tempo de operação</t>
        </r>
      </text>
    </comment>
    <comment ref="O4" authorId="0">
      <text>
        <r>
          <rPr>
            <b/>
            <sz val="9"/>
            <color indexed="81"/>
            <rFont val="Tahoma"/>
            <family val="2"/>
          </rPr>
          <t>Bruno Neto:</t>
        </r>
        <r>
          <rPr>
            <sz val="9"/>
            <color indexed="81"/>
            <rFont val="Tahoma"/>
            <family val="2"/>
          </rPr>
          <t xml:space="preserve">
f(t)=Lambda*exp(-lambda*tempo)</t>
        </r>
      </text>
    </comment>
    <comment ref="P4" authorId="0">
      <text>
        <r>
          <rPr>
            <b/>
            <sz val="9"/>
            <color indexed="81"/>
            <rFont val="Tahoma"/>
            <family val="2"/>
          </rPr>
          <t>Bruno Neto:</t>
        </r>
        <r>
          <rPr>
            <sz val="9"/>
            <color indexed="81"/>
            <rFont val="Tahoma"/>
            <family val="2"/>
          </rPr>
          <t xml:space="preserve">
F(t)=1-exp(-lambda*tempo)
*Probabilidade de avariar até ao instante t*</t>
        </r>
      </text>
    </comment>
    <comment ref="Q4" authorId="0">
      <text>
        <r>
          <rPr>
            <b/>
            <sz val="9"/>
            <color indexed="81"/>
            <rFont val="Tahoma"/>
            <family val="2"/>
          </rPr>
          <t>Bruno Neto:</t>
        </r>
        <r>
          <rPr>
            <sz val="9"/>
            <color indexed="81"/>
            <rFont val="Tahoma"/>
            <family val="2"/>
          </rPr>
          <t xml:space="preserve">
R(t)=exp(-lmbda*tempo)
*Probabilidade de sobreviver até ao instante t*</t>
        </r>
      </text>
    </comment>
    <comment ref="AC4" authorId="0">
      <text>
        <r>
          <rPr>
            <b/>
            <sz val="9"/>
            <color indexed="81"/>
            <rFont val="Tahoma"/>
            <family val="2"/>
          </rPr>
          <t>Bruno Neto:</t>
        </r>
        <r>
          <rPr>
            <sz val="9"/>
            <color indexed="81"/>
            <rFont val="Tahoma"/>
            <family val="2"/>
          </rPr>
          <t xml:space="preserve">
Para cada intervalo de avaria.</t>
        </r>
      </text>
    </comment>
    <comment ref="AD4" authorId="0">
      <text>
        <r>
          <rPr>
            <b/>
            <sz val="9"/>
            <color indexed="81"/>
            <rFont val="Tahoma"/>
            <charset val="1"/>
          </rPr>
          <t>Bruno Neto:</t>
        </r>
        <r>
          <rPr>
            <sz val="9"/>
            <color indexed="81"/>
            <rFont val="Tahoma"/>
            <charset val="1"/>
          </rPr>
          <t xml:space="preserve">
Lambda=Nº de falhas / Tempo de operação</t>
        </r>
      </text>
    </comment>
    <comment ref="AE4" authorId="0">
      <text>
        <r>
          <rPr>
            <b/>
            <sz val="9"/>
            <color indexed="81"/>
            <rFont val="Tahoma"/>
            <family val="2"/>
          </rPr>
          <t>Bruno Neto:</t>
        </r>
        <r>
          <rPr>
            <sz val="9"/>
            <color indexed="81"/>
            <rFont val="Tahoma"/>
            <family val="2"/>
          </rPr>
          <t xml:space="preserve">
f(t)=Lambda*exp(-lambda*tempo)</t>
        </r>
      </text>
    </comment>
    <comment ref="AF4" authorId="0">
      <text>
        <r>
          <rPr>
            <b/>
            <sz val="9"/>
            <color indexed="81"/>
            <rFont val="Tahoma"/>
            <family val="2"/>
          </rPr>
          <t>Bruno Neto:</t>
        </r>
        <r>
          <rPr>
            <sz val="9"/>
            <color indexed="81"/>
            <rFont val="Tahoma"/>
            <family val="2"/>
          </rPr>
          <t xml:space="preserve">
F(t)=1-exp(-lambda*tempo)
*Probabilidade de avariar até ao instante t*</t>
        </r>
      </text>
    </comment>
    <comment ref="AG4" authorId="0">
      <text>
        <r>
          <rPr>
            <b/>
            <sz val="9"/>
            <color indexed="81"/>
            <rFont val="Tahoma"/>
            <family val="2"/>
          </rPr>
          <t>Bruno Neto:</t>
        </r>
        <r>
          <rPr>
            <sz val="9"/>
            <color indexed="81"/>
            <rFont val="Tahoma"/>
            <family val="2"/>
          </rPr>
          <t xml:space="preserve">
R(t)=exp(-lmbda*tempo)
*Probabilidade de sobreviver até ao instante t*</t>
        </r>
      </text>
    </comment>
  </commentList>
</comments>
</file>

<file path=xl/comments2.xml><?xml version="1.0" encoding="utf-8"?>
<comments xmlns="http://schemas.openxmlformats.org/spreadsheetml/2006/main">
  <authors>
    <author>Bruno Neto</author>
  </authors>
  <commentList>
    <comment ref="B2" authorId="0">
      <text>
        <r>
          <rPr>
            <b/>
            <sz val="9"/>
            <color indexed="81"/>
            <rFont val="Tahoma"/>
            <family val="2"/>
          </rPr>
          <t>Bruno Neto:</t>
        </r>
        <r>
          <rPr>
            <sz val="9"/>
            <color indexed="81"/>
            <rFont val="Tahoma"/>
            <family val="2"/>
          </rPr>
          <t xml:space="preserve">
Total de avarias em cada local para o mesmo dia.</t>
        </r>
      </text>
    </comment>
    <comment ref="M4" authorId="0">
      <text>
        <r>
          <rPr>
            <b/>
            <sz val="9"/>
            <color indexed="81"/>
            <rFont val="Tahoma"/>
            <family val="2"/>
          </rPr>
          <t>Bruno Neto:</t>
        </r>
        <r>
          <rPr>
            <sz val="9"/>
            <color indexed="81"/>
            <rFont val="Tahoma"/>
            <family val="2"/>
          </rPr>
          <t xml:space="preserve">
Para cada intervalo de avaria.</t>
        </r>
      </text>
    </comment>
    <comment ref="N4" authorId="0">
      <text>
        <r>
          <rPr>
            <b/>
            <sz val="9"/>
            <color indexed="81"/>
            <rFont val="Tahoma"/>
            <charset val="1"/>
          </rPr>
          <t>Bruno Neto:</t>
        </r>
        <r>
          <rPr>
            <sz val="9"/>
            <color indexed="81"/>
            <rFont val="Tahoma"/>
            <charset val="1"/>
          </rPr>
          <t xml:space="preserve">
Lambda=Nº de falhas / Tempo de operação</t>
        </r>
      </text>
    </comment>
    <comment ref="O4" authorId="0">
      <text>
        <r>
          <rPr>
            <b/>
            <sz val="9"/>
            <color indexed="81"/>
            <rFont val="Tahoma"/>
            <family val="2"/>
          </rPr>
          <t>Bruno Neto:</t>
        </r>
        <r>
          <rPr>
            <sz val="9"/>
            <color indexed="81"/>
            <rFont val="Tahoma"/>
            <family val="2"/>
          </rPr>
          <t xml:space="preserve">
f(t)=Lambda*exp(-lambda*tempo)</t>
        </r>
      </text>
    </comment>
    <comment ref="P4" authorId="0">
      <text>
        <r>
          <rPr>
            <b/>
            <sz val="9"/>
            <color indexed="81"/>
            <rFont val="Tahoma"/>
            <family val="2"/>
          </rPr>
          <t>Bruno Neto:</t>
        </r>
        <r>
          <rPr>
            <sz val="9"/>
            <color indexed="81"/>
            <rFont val="Tahoma"/>
            <family val="2"/>
          </rPr>
          <t xml:space="preserve">
F(t)=1-exp(-lambda*tempo)
*Probabilidade de avariar até ao instante t*</t>
        </r>
      </text>
    </comment>
    <comment ref="Q4" authorId="0">
      <text>
        <r>
          <rPr>
            <b/>
            <sz val="9"/>
            <color indexed="81"/>
            <rFont val="Tahoma"/>
            <family val="2"/>
          </rPr>
          <t>Bruno Neto:</t>
        </r>
        <r>
          <rPr>
            <sz val="9"/>
            <color indexed="81"/>
            <rFont val="Tahoma"/>
            <family val="2"/>
          </rPr>
          <t xml:space="preserve">
R(t)=exp(-lmbda*tempo)
*Probabilidade de sobreviver até ao instante t*</t>
        </r>
      </text>
    </comment>
    <comment ref="AC4" authorId="0">
      <text>
        <r>
          <rPr>
            <b/>
            <sz val="9"/>
            <color indexed="81"/>
            <rFont val="Tahoma"/>
            <family val="2"/>
          </rPr>
          <t>Bruno Neto:</t>
        </r>
        <r>
          <rPr>
            <sz val="9"/>
            <color indexed="81"/>
            <rFont val="Tahoma"/>
            <family val="2"/>
          </rPr>
          <t xml:space="preserve">
Para cada intervalo de avaria.</t>
        </r>
      </text>
    </comment>
    <comment ref="AD4" authorId="0">
      <text>
        <r>
          <rPr>
            <b/>
            <sz val="9"/>
            <color indexed="81"/>
            <rFont val="Tahoma"/>
            <charset val="1"/>
          </rPr>
          <t>Bruno Neto:</t>
        </r>
        <r>
          <rPr>
            <sz val="9"/>
            <color indexed="81"/>
            <rFont val="Tahoma"/>
            <charset val="1"/>
          </rPr>
          <t xml:space="preserve">
Lambda=Nº de falhas / Tempo de operação</t>
        </r>
      </text>
    </comment>
    <comment ref="AE4" authorId="0">
      <text>
        <r>
          <rPr>
            <b/>
            <sz val="9"/>
            <color indexed="81"/>
            <rFont val="Tahoma"/>
            <family val="2"/>
          </rPr>
          <t>Bruno Neto:</t>
        </r>
        <r>
          <rPr>
            <sz val="9"/>
            <color indexed="81"/>
            <rFont val="Tahoma"/>
            <family val="2"/>
          </rPr>
          <t xml:space="preserve">
f(t)=Lambda*exp(-lambda*tempo)</t>
        </r>
      </text>
    </comment>
    <comment ref="AF4" authorId="0">
      <text>
        <r>
          <rPr>
            <b/>
            <sz val="9"/>
            <color indexed="81"/>
            <rFont val="Tahoma"/>
            <family val="2"/>
          </rPr>
          <t>Bruno Neto:</t>
        </r>
        <r>
          <rPr>
            <sz val="9"/>
            <color indexed="81"/>
            <rFont val="Tahoma"/>
            <family val="2"/>
          </rPr>
          <t xml:space="preserve">
F(t)=1-exp(-lambda*tempo)
*Probabilidade de avariar até ao instante t*</t>
        </r>
      </text>
    </comment>
    <comment ref="AG4" authorId="0">
      <text>
        <r>
          <rPr>
            <b/>
            <sz val="9"/>
            <color indexed="81"/>
            <rFont val="Tahoma"/>
            <family val="2"/>
          </rPr>
          <t>Bruno Neto:</t>
        </r>
        <r>
          <rPr>
            <sz val="9"/>
            <color indexed="81"/>
            <rFont val="Tahoma"/>
            <family val="2"/>
          </rPr>
          <t xml:space="preserve">
R(t)=exp(-lmbda*tempo)
*Probabilidade de sobreviver até ao instante t*</t>
        </r>
      </text>
    </comment>
  </commentList>
</comments>
</file>

<file path=xl/comments20.xml><?xml version="1.0" encoding="utf-8"?>
<comments xmlns="http://schemas.openxmlformats.org/spreadsheetml/2006/main">
  <authors>
    <author>Bruno Neto</author>
  </authors>
  <commentList>
    <comment ref="B2" authorId="0">
      <text>
        <r>
          <rPr>
            <b/>
            <sz val="9"/>
            <color indexed="81"/>
            <rFont val="Tahoma"/>
            <family val="2"/>
          </rPr>
          <t>Bruno Neto:</t>
        </r>
        <r>
          <rPr>
            <sz val="9"/>
            <color indexed="81"/>
            <rFont val="Tahoma"/>
            <family val="2"/>
          </rPr>
          <t xml:space="preserve">
Total de avarias em cada local para o mesmo dia.</t>
        </r>
      </text>
    </comment>
    <comment ref="M4" authorId="0">
      <text>
        <r>
          <rPr>
            <b/>
            <sz val="9"/>
            <color indexed="81"/>
            <rFont val="Tahoma"/>
            <family val="2"/>
          </rPr>
          <t>Bruno Neto:</t>
        </r>
        <r>
          <rPr>
            <sz val="9"/>
            <color indexed="81"/>
            <rFont val="Tahoma"/>
            <family val="2"/>
          </rPr>
          <t xml:space="preserve">
Para cada intervalo de avaria.</t>
        </r>
      </text>
    </comment>
    <comment ref="N4" authorId="0">
      <text>
        <r>
          <rPr>
            <b/>
            <sz val="9"/>
            <color indexed="81"/>
            <rFont val="Tahoma"/>
            <charset val="1"/>
          </rPr>
          <t>Bruno Neto:</t>
        </r>
        <r>
          <rPr>
            <sz val="9"/>
            <color indexed="81"/>
            <rFont val="Tahoma"/>
            <charset val="1"/>
          </rPr>
          <t xml:space="preserve">
Lambda=Nº de falhas / Tempo de operação</t>
        </r>
      </text>
    </comment>
    <comment ref="O4" authorId="0">
      <text>
        <r>
          <rPr>
            <b/>
            <sz val="9"/>
            <color indexed="81"/>
            <rFont val="Tahoma"/>
            <family val="2"/>
          </rPr>
          <t>Bruno Neto:</t>
        </r>
        <r>
          <rPr>
            <sz val="9"/>
            <color indexed="81"/>
            <rFont val="Tahoma"/>
            <family val="2"/>
          </rPr>
          <t xml:space="preserve">
f(t)=Lambda*exp(-lambda*tempo)</t>
        </r>
      </text>
    </comment>
    <comment ref="P4" authorId="0">
      <text>
        <r>
          <rPr>
            <b/>
            <sz val="9"/>
            <color indexed="81"/>
            <rFont val="Tahoma"/>
            <family val="2"/>
          </rPr>
          <t>Bruno Neto:</t>
        </r>
        <r>
          <rPr>
            <sz val="9"/>
            <color indexed="81"/>
            <rFont val="Tahoma"/>
            <family val="2"/>
          </rPr>
          <t xml:space="preserve">
F(t)=1-exp(-lambda*tempo)
*Probabilidade de avariar até ao instante t*</t>
        </r>
      </text>
    </comment>
    <comment ref="Q4" authorId="0">
      <text>
        <r>
          <rPr>
            <b/>
            <sz val="9"/>
            <color indexed="81"/>
            <rFont val="Tahoma"/>
            <family val="2"/>
          </rPr>
          <t>Bruno Neto:</t>
        </r>
        <r>
          <rPr>
            <sz val="9"/>
            <color indexed="81"/>
            <rFont val="Tahoma"/>
            <family val="2"/>
          </rPr>
          <t xml:space="preserve">
R(t)=exp(-lmbda*tempo)
*Probabilidade de sobreviver até ao instante t*</t>
        </r>
      </text>
    </comment>
    <comment ref="Y4" authorId="0">
      <text>
        <r>
          <rPr>
            <b/>
            <sz val="9"/>
            <color indexed="81"/>
            <rFont val="Tahoma"/>
            <family val="2"/>
          </rPr>
          <t>Bruno Neto:</t>
        </r>
        <r>
          <rPr>
            <sz val="9"/>
            <color indexed="81"/>
            <rFont val="Tahoma"/>
            <family val="2"/>
          </rPr>
          <t xml:space="preserve">
Tempo total fora de serviço.</t>
        </r>
      </text>
    </comment>
    <comment ref="Z4" authorId="0">
      <text>
        <r>
          <rPr>
            <b/>
            <sz val="9"/>
            <color indexed="81"/>
            <rFont val="Tahoma"/>
            <family val="2"/>
          </rPr>
          <t>Bruno Neto:</t>
        </r>
        <r>
          <rPr>
            <sz val="9"/>
            <color indexed="81"/>
            <rFont val="Tahoma"/>
            <family val="2"/>
          </rPr>
          <t xml:space="preserve">
=( (minutos_por_ano)-Tempo_total_KO) / Frequência</t>
        </r>
      </text>
    </comment>
    <comment ref="AA4" authorId="0">
      <text>
        <r>
          <rPr>
            <b/>
            <sz val="9"/>
            <color indexed="81"/>
            <rFont val="Tahoma"/>
            <family val="2"/>
          </rPr>
          <t>Bruno Neto:</t>
        </r>
        <r>
          <rPr>
            <sz val="9"/>
            <color indexed="81"/>
            <rFont val="Tahoma"/>
            <family val="2"/>
          </rPr>
          <t xml:space="preserve">
Conversão do MTBF de minutos para dias.</t>
        </r>
      </text>
    </comment>
    <comment ref="AB4" authorId="0">
      <text>
        <r>
          <rPr>
            <b/>
            <sz val="9"/>
            <color indexed="81"/>
            <rFont val="Tahoma"/>
            <family val="2"/>
          </rPr>
          <t>Bruno Neto:</t>
        </r>
        <r>
          <rPr>
            <sz val="9"/>
            <color indexed="81"/>
            <rFont val="Tahoma"/>
            <family val="2"/>
          </rPr>
          <t xml:space="preserve">
Tempo_total_KO / Frequência</t>
        </r>
      </text>
    </comment>
    <comment ref="AC4" authorId="0">
      <text>
        <r>
          <rPr>
            <b/>
            <sz val="9"/>
            <color indexed="81"/>
            <rFont val="Tahoma"/>
            <family val="2"/>
          </rPr>
          <t>Bruno Neto:</t>
        </r>
        <r>
          <rPr>
            <sz val="9"/>
            <color indexed="81"/>
            <rFont val="Tahoma"/>
            <family val="2"/>
          </rPr>
          <t xml:space="preserve">
Tempo_total_KO - Média_tempo_avaria</t>
        </r>
      </text>
    </comment>
    <comment ref="AD4" authorId="0">
      <text>
        <r>
          <rPr>
            <b/>
            <sz val="9"/>
            <color indexed="81"/>
            <rFont val="Tahoma"/>
            <family val="2"/>
          </rPr>
          <t>Bruno Neto:</t>
        </r>
        <r>
          <rPr>
            <sz val="9"/>
            <color indexed="81"/>
            <rFont val="Tahoma"/>
            <family val="2"/>
          </rPr>
          <t xml:space="preserve">
Para cada intervalo de avaria.
=RAIZQ((Desvio_aux) / Frequência)
Nota: CONTAR(XX:YY)</t>
        </r>
      </text>
    </comment>
    <comment ref="AE4" authorId="0">
      <text>
        <r>
          <rPr>
            <b/>
            <sz val="9"/>
            <color indexed="81"/>
            <rFont val="Tahoma"/>
            <charset val="1"/>
          </rPr>
          <t>Bruno Neto:</t>
        </r>
        <r>
          <rPr>
            <sz val="9"/>
            <color indexed="81"/>
            <rFont val="Tahoma"/>
            <charset val="1"/>
          </rPr>
          <t xml:space="preserve">
Lambda=Nº de falhas / Tempo de operação
ou
Lambda=1/MTBF</t>
        </r>
      </text>
    </comment>
    <comment ref="AF4" authorId="0">
      <text>
        <r>
          <rPr>
            <b/>
            <sz val="9"/>
            <color indexed="81"/>
            <rFont val="Tahoma"/>
            <family val="2"/>
          </rPr>
          <t xml:space="preserve">Bruno Neto:
Função densidade da distribuição exponencial:
</t>
        </r>
        <r>
          <rPr>
            <sz val="9"/>
            <color indexed="81"/>
            <rFont val="Tahoma"/>
            <family val="2"/>
          </rPr>
          <t>(gráfico decrescente)</t>
        </r>
        <r>
          <rPr>
            <b/>
            <sz val="9"/>
            <color indexed="81"/>
            <rFont val="Tahoma"/>
            <family val="2"/>
          </rPr>
          <t xml:space="preserve">
</t>
        </r>
        <r>
          <rPr>
            <sz val="9"/>
            <color indexed="81"/>
            <rFont val="Tahoma"/>
            <family val="2"/>
          </rPr>
          <t xml:space="preserve">
f(t)=Lambda*exp(-lambda*tempo)
f(t)=Probabilidade de falha
t=Tempo de funcionamento
lambda=Ritmo médio de falhas</t>
        </r>
      </text>
    </comment>
    <comment ref="AG4" authorId="0">
      <text>
        <r>
          <rPr>
            <b/>
            <sz val="9"/>
            <color indexed="81"/>
            <rFont val="Tahoma"/>
            <family val="2"/>
          </rPr>
          <t xml:space="preserve">Bruno Neto:
Função de distribuição acumulada
</t>
        </r>
        <r>
          <rPr>
            <sz val="9"/>
            <color indexed="81"/>
            <rFont val="Tahoma"/>
            <family val="2"/>
          </rPr>
          <t>(Gráfico crescente)</t>
        </r>
        <r>
          <rPr>
            <b/>
            <sz val="9"/>
            <color indexed="81"/>
            <rFont val="Tahoma"/>
            <family val="2"/>
          </rPr>
          <t xml:space="preserve">
</t>
        </r>
        <r>
          <rPr>
            <sz val="9"/>
            <color indexed="81"/>
            <rFont val="Tahoma"/>
            <family val="2"/>
          </rPr>
          <t xml:space="preserve">
F(t)=1-exp(-lambda*tempo)
*Probabilidade de avariar até ao instante t*</t>
        </r>
      </text>
    </comment>
    <comment ref="AH4" authorId="0">
      <text>
        <r>
          <rPr>
            <b/>
            <sz val="9"/>
            <color indexed="81"/>
            <rFont val="Tahoma"/>
            <family val="2"/>
          </rPr>
          <t xml:space="preserve">Bruno Neto:
Função de fiabilidade R(t):
</t>
        </r>
        <r>
          <rPr>
            <sz val="9"/>
            <color indexed="81"/>
            <rFont val="Tahoma"/>
            <family val="2"/>
          </rPr>
          <t>(Função exponencial negativa)</t>
        </r>
        <r>
          <rPr>
            <b/>
            <sz val="9"/>
            <color indexed="81"/>
            <rFont val="Tahoma"/>
            <family val="2"/>
          </rPr>
          <t xml:space="preserve">
</t>
        </r>
        <r>
          <rPr>
            <sz val="9"/>
            <color indexed="81"/>
            <rFont val="Tahoma"/>
            <family val="2"/>
          </rPr>
          <t xml:space="preserve">
R(t)=exp(-lambda*tempo)
*Probabilidade de sobreviver até ao instante t*
ou
"Probabilidade de ainda estar a trabalhar até ao instante t"</t>
        </r>
      </text>
    </comment>
    <comment ref="AI4" authorId="0">
      <text>
        <r>
          <rPr>
            <b/>
            <sz val="9"/>
            <color indexed="81"/>
            <rFont val="Tahoma"/>
            <family val="2"/>
          </rPr>
          <t>Bruno Neto:</t>
        </r>
        <r>
          <rPr>
            <sz val="9"/>
            <color indexed="81"/>
            <rFont val="Tahoma"/>
            <family val="2"/>
          </rPr>
          <t xml:space="preserve">
( Total_Horas_Trabalho / (Total_horas_trabalho + Horas_paragens_não_programadas) ) * 100</t>
        </r>
      </text>
    </comment>
    <comment ref="AJ4" authorId="0">
      <text>
        <r>
          <rPr>
            <b/>
            <sz val="9"/>
            <color indexed="81"/>
            <rFont val="Tahoma"/>
            <family val="2"/>
          </rPr>
          <t>Bruno Neto:</t>
        </r>
        <r>
          <rPr>
            <sz val="9"/>
            <color indexed="81"/>
            <rFont val="Tahoma"/>
            <family val="2"/>
          </rPr>
          <t xml:space="preserve">
Considerados dias por cada ano 5 a 5.
Aqui coloco o dia de cada ano, independentemente da data da avaria. É igual. Interessa é o lambda desse mesmo ano!</t>
        </r>
      </text>
    </comment>
    <comment ref="AK4" authorId="0">
      <text>
        <r>
          <rPr>
            <b/>
            <sz val="9"/>
            <color indexed="81"/>
            <rFont val="Tahoma"/>
            <family val="2"/>
          </rPr>
          <t>Bruno Neto:</t>
        </r>
        <r>
          <rPr>
            <sz val="9"/>
            <color indexed="81"/>
            <rFont val="Tahoma"/>
            <family val="2"/>
          </rPr>
          <t xml:space="preserve">
Probabilidade de estar a funcionar ao dia AJ##.</t>
        </r>
      </text>
    </comment>
    <comment ref="AL4" authorId="0">
      <text>
        <r>
          <rPr>
            <b/>
            <sz val="9"/>
            <color indexed="81"/>
            <rFont val="Tahoma"/>
            <family val="2"/>
          </rPr>
          <t>Bruno Neto:</t>
        </r>
        <r>
          <rPr>
            <sz val="9"/>
            <color indexed="81"/>
            <rFont val="Tahoma"/>
            <family val="2"/>
          </rPr>
          <t xml:space="preserve">
Probabilidade de estar a funcionar ao dia AJ##.</t>
        </r>
      </text>
    </comment>
    <comment ref="AM4" authorId="0">
      <text>
        <r>
          <rPr>
            <b/>
            <sz val="9"/>
            <color indexed="81"/>
            <rFont val="Tahoma"/>
            <family val="2"/>
          </rPr>
          <t>Bruno Neto:</t>
        </r>
        <r>
          <rPr>
            <sz val="9"/>
            <color indexed="81"/>
            <rFont val="Tahoma"/>
            <family val="2"/>
          </rPr>
          <t xml:space="preserve">
Probabilidade de estar a funcionar ao dia AJ##.</t>
        </r>
      </text>
    </comment>
    <comment ref="AN4" authorId="0">
      <text>
        <r>
          <rPr>
            <b/>
            <sz val="9"/>
            <color indexed="81"/>
            <rFont val="Tahoma"/>
            <family val="2"/>
          </rPr>
          <t>Bruno Neto:</t>
        </r>
        <r>
          <rPr>
            <sz val="9"/>
            <color indexed="81"/>
            <rFont val="Tahoma"/>
            <family val="2"/>
          </rPr>
          <t xml:space="preserve">
Probabilidade de estar a funcionar ao dia AJ##.</t>
        </r>
      </text>
    </comment>
    <comment ref="AO4" authorId="0">
      <text>
        <r>
          <rPr>
            <b/>
            <sz val="9"/>
            <color indexed="81"/>
            <rFont val="Tahoma"/>
            <family val="2"/>
          </rPr>
          <t>Bruno Neto:</t>
        </r>
        <r>
          <rPr>
            <sz val="9"/>
            <color indexed="81"/>
            <rFont val="Tahoma"/>
            <family val="2"/>
          </rPr>
          <t xml:space="preserve">
Probabilidade de estar a funcionar ao dia AJ##.</t>
        </r>
      </text>
    </comment>
    <comment ref="AP4" authorId="0">
      <text>
        <r>
          <rPr>
            <b/>
            <sz val="9"/>
            <color indexed="81"/>
            <rFont val="Tahoma"/>
            <family val="2"/>
          </rPr>
          <t>Bruno Neto:</t>
        </r>
        <r>
          <rPr>
            <sz val="9"/>
            <color indexed="81"/>
            <rFont val="Tahoma"/>
            <family val="2"/>
          </rPr>
          <t xml:space="preserve">
Probabilidade de estar a funcionar ao dia AJ##.</t>
        </r>
      </text>
    </comment>
    <comment ref="AQ4" authorId="0">
      <text>
        <r>
          <rPr>
            <b/>
            <sz val="9"/>
            <color indexed="81"/>
            <rFont val="Tahoma"/>
            <family val="2"/>
          </rPr>
          <t>Bruno Neto:</t>
        </r>
        <r>
          <rPr>
            <sz val="9"/>
            <color indexed="81"/>
            <rFont val="Tahoma"/>
            <family val="2"/>
          </rPr>
          <t xml:space="preserve">
Probabilidade de estar a funcionar ao dia AJ##.</t>
        </r>
      </text>
    </comment>
    <comment ref="AR4" authorId="0">
      <text>
        <r>
          <rPr>
            <b/>
            <sz val="9"/>
            <color indexed="81"/>
            <rFont val="Tahoma"/>
            <family val="2"/>
          </rPr>
          <t>Bruno Neto:</t>
        </r>
        <r>
          <rPr>
            <sz val="9"/>
            <color indexed="81"/>
            <rFont val="Tahoma"/>
            <family val="2"/>
          </rPr>
          <t xml:space="preserve">
Probabilidade de estar a funcionar ao dia AJ##.</t>
        </r>
      </text>
    </comment>
    <comment ref="AS4" authorId="0">
      <text>
        <r>
          <rPr>
            <b/>
            <sz val="9"/>
            <color indexed="81"/>
            <rFont val="Tahoma"/>
            <family val="2"/>
          </rPr>
          <t>Bruno Neto:</t>
        </r>
        <r>
          <rPr>
            <sz val="9"/>
            <color indexed="81"/>
            <rFont val="Tahoma"/>
            <family val="2"/>
          </rPr>
          <t xml:space="preserve">
Probabilidade de estar a funcionar ao dia AJ##.</t>
        </r>
      </text>
    </comment>
    <comment ref="AT4" authorId="0">
      <text>
        <r>
          <rPr>
            <b/>
            <sz val="9"/>
            <color indexed="81"/>
            <rFont val="Tahoma"/>
            <family val="2"/>
          </rPr>
          <t>Bruno Neto:</t>
        </r>
        <r>
          <rPr>
            <sz val="9"/>
            <color indexed="81"/>
            <rFont val="Tahoma"/>
            <family val="2"/>
          </rPr>
          <t xml:space="preserve">
Probabilidade de estar a funcionar ao dia AJ##.</t>
        </r>
      </text>
    </comment>
    <comment ref="AU4" authorId="0">
      <text>
        <r>
          <rPr>
            <b/>
            <sz val="9"/>
            <color indexed="81"/>
            <rFont val="Tahoma"/>
            <family val="2"/>
          </rPr>
          <t>Bruno Neto:</t>
        </r>
        <r>
          <rPr>
            <sz val="9"/>
            <color indexed="81"/>
            <rFont val="Tahoma"/>
            <family val="2"/>
          </rPr>
          <t xml:space="preserve">
Probabilidade de estar a funcionar ao dia AJ##.</t>
        </r>
      </text>
    </comment>
    <comment ref="AV4" authorId="0">
      <text>
        <r>
          <rPr>
            <b/>
            <sz val="9"/>
            <color indexed="81"/>
            <rFont val="Tahoma"/>
            <family val="2"/>
          </rPr>
          <t>Bruno Neto:</t>
        </r>
        <r>
          <rPr>
            <sz val="9"/>
            <color indexed="81"/>
            <rFont val="Tahoma"/>
            <family val="2"/>
          </rPr>
          <t xml:space="preserve">
Probabilidade de estar a funcionar ao dia AJ##.</t>
        </r>
      </text>
    </comment>
    <comment ref="AW4" authorId="0">
      <text>
        <r>
          <rPr>
            <b/>
            <sz val="9"/>
            <color indexed="81"/>
            <rFont val="Tahoma"/>
            <family val="2"/>
          </rPr>
          <t>Bruno Neto:</t>
        </r>
        <r>
          <rPr>
            <sz val="9"/>
            <color indexed="81"/>
            <rFont val="Tahoma"/>
            <family val="2"/>
          </rPr>
          <t xml:space="preserve">
Probabilidade de estar a funcionar ao dia AJ##.</t>
        </r>
      </text>
    </comment>
    <comment ref="AX4" authorId="0">
      <text>
        <r>
          <rPr>
            <b/>
            <sz val="9"/>
            <color indexed="81"/>
            <rFont val="Tahoma"/>
            <family val="2"/>
          </rPr>
          <t>Bruno Neto:</t>
        </r>
        <r>
          <rPr>
            <sz val="9"/>
            <color indexed="81"/>
            <rFont val="Tahoma"/>
            <family val="2"/>
          </rPr>
          <t xml:space="preserve">
Probabilidade de estar a funcionar ao dia AJ##.</t>
        </r>
      </text>
    </comment>
    <comment ref="AY4" authorId="0">
      <text>
        <r>
          <rPr>
            <b/>
            <sz val="9"/>
            <color indexed="81"/>
            <rFont val="Tahoma"/>
            <family val="2"/>
          </rPr>
          <t>Bruno Neto:</t>
        </r>
        <r>
          <rPr>
            <sz val="9"/>
            <color indexed="81"/>
            <rFont val="Tahoma"/>
            <family val="2"/>
          </rPr>
          <t xml:space="preserve">
Probabilidade de estar a funcionar ao dia AJ##.</t>
        </r>
      </text>
    </comment>
  </commentList>
</comments>
</file>

<file path=xl/comments21.xml><?xml version="1.0" encoding="utf-8"?>
<comments xmlns="http://schemas.openxmlformats.org/spreadsheetml/2006/main">
  <authors>
    <author>Bruno Neto</author>
  </authors>
  <commentList>
    <comment ref="B2" authorId="0">
      <text>
        <r>
          <rPr>
            <b/>
            <sz val="9"/>
            <color indexed="81"/>
            <rFont val="Tahoma"/>
            <family val="2"/>
          </rPr>
          <t>Bruno Neto:</t>
        </r>
        <r>
          <rPr>
            <sz val="9"/>
            <color indexed="81"/>
            <rFont val="Tahoma"/>
            <family val="2"/>
          </rPr>
          <t xml:space="preserve">
Total de avarias em cada local para o mesmo dia.</t>
        </r>
      </text>
    </comment>
    <comment ref="M4" authorId="0">
      <text>
        <r>
          <rPr>
            <b/>
            <sz val="9"/>
            <color indexed="81"/>
            <rFont val="Tahoma"/>
            <family val="2"/>
          </rPr>
          <t>Bruno Neto:</t>
        </r>
        <r>
          <rPr>
            <sz val="9"/>
            <color indexed="81"/>
            <rFont val="Tahoma"/>
            <family val="2"/>
          </rPr>
          <t xml:space="preserve">
Para cada intervalo de avaria.</t>
        </r>
      </text>
    </comment>
    <comment ref="N4" authorId="0">
      <text>
        <r>
          <rPr>
            <b/>
            <sz val="9"/>
            <color indexed="81"/>
            <rFont val="Tahoma"/>
            <charset val="1"/>
          </rPr>
          <t>Bruno Neto:</t>
        </r>
        <r>
          <rPr>
            <sz val="9"/>
            <color indexed="81"/>
            <rFont val="Tahoma"/>
            <charset val="1"/>
          </rPr>
          <t xml:space="preserve">
Lambda=Nº de falhas / Tempo de operação</t>
        </r>
      </text>
    </comment>
    <comment ref="O4" authorId="0">
      <text>
        <r>
          <rPr>
            <b/>
            <sz val="9"/>
            <color indexed="81"/>
            <rFont val="Tahoma"/>
            <family val="2"/>
          </rPr>
          <t>Bruno Neto:</t>
        </r>
        <r>
          <rPr>
            <sz val="9"/>
            <color indexed="81"/>
            <rFont val="Tahoma"/>
            <family val="2"/>
          </rPr>
          <t xml:space="preserve">
f(t)=Lambda*exp(-lambda*tempo)</t>
        </r>
      </text>
    </comment>
    <comment ref="P4" authorId="0">
      <text>
        <r>
          <rPr>
            <b/>
            <sz val="9"/>
            <color indexed="81"/>
            <rFont val="Tahoma"/>
            <family val="2"/>
          </rPr>
          <t>Bruno Neto:</t>
        </r>
        <r>
          <rPr>
            <sz val="9"/>
            <color indexed="81"/>
            <rFont val="Tahoma"/>
            <family val="2"/>
          </rPr>
          <t xml:space="preserve">
F(t)=1-exp(-lambda*tempo)
*Probabilidade de avariar até ao instante t*</t>
        </r>
      </text>
    </comment>
    <comment ref="Q4" authorId="0">
      <text>
        <r>
          <rPr>
            <b/>
            <sz val="9"/>
            <color indexed="81"/>
            <rFont val="Tahoma"/>
            <family val="2"/>
          </rPr>
          <t>Bruno Neto:</t>
        </r>
        <r>
          <rPr>
            <sz val="9"/>
            <color indexed="81"/>
            <rFont val="Tahoma"/>
            <family val="2"/>
          </rPr>
          <t xml:space="preserve">
R(t)=exp(-lmbda*tempo)
*Probabilidade de sobreviver até ao instante t*</t>
        </r>
      </text>
    </comment>
    <comment ref="X4" authorId="0">
      <text>
        <r>
          <rPr>
            <b/>
            <sz val="9"/>
            <color indexed="81"/>
            <rFont val="Tahoma"/>
            <family val="2"/>
          </rPr>
          <t>Bruno Neto:</t>
        </r>
        <r>
          <rPr>
            <sz val="9"/>
            <color indexed="81"/>
            <rFont val="Tahoma"/>
            <family val="2"/>
          </rPr>
          <t xml:space="preserve">
Quantidade de avarias que ocorreram por ano em determinado local.</t>
        </r>
      </text>
    </comment>
    <comment ref="Y4" authorId="0">
      <text>
        <r>
          <rPr>
            <b/>
            <sz val="9"/>
            <color indexed="81"/>
            <rFont val="Tahoma"/>
            <family val="2"/>
          </rPr>
          <t>Bruno Neto:</t>
        </r>
        <r>
          <rPr>
            <sz val="9"/>
            <color indexed="81"/>
            <rFont val="Tahoma"/>
            <family val="2"/>
          </rPr>
          <t xml:space="preserve">
Tempo total fora de serviço.</t>
        </r>
      </text>
    </comment>
    <comment ref="Z4" authorId="0">
      <text>
        <r>
          <rPr>
            <b/>
            <sz val="9"/>
            <color indexed="81"/>
            <rFont val="Tahoma"/>
            <family val="2"/>
          </rPr>
          <t>Bruno Neto:</t>
        </r>
        <r>
          <rPr>
            <sz val="9"/>
            <color indexed="81"/>
            <rFont val="Tahoma"/>
            <family val="2"/>
          </rPr>
          <t xml:space="preserve">
=( (minutos_por_ano)-Tempo_total_KO) / Frequência</t>
        </r>
      </text>
    </comment>
    <comment ref="AA4" authorId="0">
      <text>
        <r>
          <rPr>
            <b/>
            <sz val="9"/>
            <color indexed="81"/>
            <rFont val="Tahoma"/>
            <family val="2"/>
          </rPr>
          <t>Bruno Neto:</t>
        </r>
        <r>
          <rPr>
            <sz val="9"/>
            <color indexed="81"/>
            <rFont val="Tahoma"/>
            <family val="2"/>
          </rPr>
          <t xml:space="preserve">
Conversão do MTBF de minutos para dias.</t>
        </r>
      </text>
    </comment>
    <comment ref="AB4" authorId="0">
      <text>
        <r>
          <rPr>
            <b/>
            <sz val="9"/>
            <color indexed="81"/>
            <rFont val="Tahoma"/>
            <family val="2"/>
          </rPr>
          <t>Bruno Neto:</t>
        </r>
        <r>
          <rPr>
            <sz val="9"/>
            <color indexed="81"/>
            <rFont val="Tahoma"/>
            <family val="2"/>
          </rPr>
          <t xml:space="preserve">
Tempo_total_KO / Frequência</t>
        </r>
      </text>
    </comment>
    <comment ref="AC4" authorId="0">
      <text>
        <r>
          <rPr>
            <b/>
            <sz val="9"/>
            <color indexed="81"/>
            <rFont val="Tahoma"/>
            <family val="2"/>
          </rPr>
          <t>Bruno Neto:</t>
        </r>
        <r>
          <rPr>
            <sz val="9"/>
            <color indexed="81"/>
            <rFont val="Tahoma"/>
            <family val="2"/>
          </rPr>
          <t xml:space="preserve">
Tempo_total_KO - Média_tempo_avaria</t>
        </r>
      </text>
    </comment>
    <comment ref="AD4" authorId="0">
      <text>
        <r>
          <rPr>
            <b/>
            <sz val="9"/>
            <color indexed="81"/>
            <rFont val="Tahoma"/>
            <family val="2"/>
          </rPr>
          <t>Bruno Neto:</t>
        </r>
        <r>
          <rPr>
            <sz val="9"/>
            <color indexed="81"/>
            <rFont val="Tahoma"/>
            <family val="2"/>
          </rPr>
          <t xml:space="preserve">
Para cada intervalo de avaria.
=RAIZQ((Desvio_aux) / Frequência)
Nota: CONTAR(XX:YY)</t>
        </r>
      </text>
    </comment>
    <comment ref="AE4" authorId="0">
      <text>
        <r>
          <rPr>
            <b/>
            <sz val="9"/>
            <color indexed="81"/>
            <rFont val="Tahoma"/>
            <charset val="1"/>
          </rPr>
          <t>Bruno Neto:</t>
        </r>
        <r>
          <rPr>
            <sz val="9"/>
            <color indexed="81"/>
            <rFont val="Tahoma"/>
            <charset val="1"/>
          </rPr>
          <t xml:space="preserve">
Lambda=Nº de falhas / Tempo de operação
ou
Lambda=1/MTBF</t>
        </r>
      </text>
    </comment>
    <comment ref="AF4" authorId="0">
      <text>
        <r>
          <rPr>
            <b/>
            <sz val="9"/>
            <color indexed="81"/>
            <rFont val="Tahoma"/>
            <family val="2"/>
          </rPr>
          <t xml:space="preserve">Bruno Neto:
Função densidade da distribuição exponencial:
</t>
        </r>
        <r>
          <rPr>
            <sz val="9"/>
            <color indexed="81"/>
            <rFont val="Tahoma"/>
            <family val="2"/>
          </rPr>
          <t>(gráfico decrescente)</t>
        </r>
        <r>
          <rPr>
            <b/>
            <sz val="9"/>
            <color indexed="81"/>
            <rFont val="Tahoma"/>
            <family val="2"/>
          </rPr>
          <t xml:space="preserve">
</t>
        </r>
        <r>
          <rPr>
            <sz val="9"/>
            <color indexed="81"/>
            <rFont val="Tahoma"/>
            <family val="2"/>
          </rPr>
          <t xml:space="preserve">
f(t)=Lambda*exp(-lambda*tempo)
f(t)=Probabilidade de falha
t=Tempo de funcionamento
lambda=Ritmo médio de falhas</t>
        </r>
      </text>
    </comment>
    <comment ref="AG4" authorId="0">
      <text>
        <r>
          <rPr>
            <b/>
            <sz val="9"/>
            <color indexed="81"/>
            <rFont val="Tahoma"/>
            <family val="2"/>
          </rPr>
          <t xml:space="preserve">Bruno Neto:
Função de distribuição acumulada
</t>
        </r>
        <r>
          <rPr>
            <sz val="9"/>
            <color indexed="81"/>
            <rFont val="Tahoma"/>
            <family val="2"/>
          </rPr>
          <t>(Gráfico crescente)</t>
        </r>
        <r>
          <rPr>
            <b/>
            <sz val="9"/>
            <color indexed="81"/>
            <rFont val="Tahoma"/>
            <family val="2"/>
          </rPr>
          <t xml:space="preserve">
</t>
        </r>
        <r>
          <rPr>
            <sz val="9"/>
            <color indexed="81"/>
            <rFont val="Tahoma"/>
            <family val="2"/>
          </rPr>
          <t xml:space="preserve">
F(t)=1-exp(-lambda*tempo)
*Probabilidade de avariar até ao instante t*</t>
        </r>
      </text>
    </comment>
    <comment ref="AH4" authorId="0">
      <text>
        <r>
          <rPr>
            <b/>
            <sz val="9"/>
            <color indexed="81"/>
            <rFont val="Tahoma"/>
            <family val="2"/>
          </rPr>
          <t xml:space="preserve">Bruno Neto:
Função de fiabilidade R(t):
</t>
        </r>
        <r>
          <rPr>
            <sz val="9"/>
            <color indexed="81"/>
            <rFont val="Tahoma"/>
            <family val="2"/>
          </rPr>
          <t>(Função exponencial negativa)</t>
        </r>
        <r>
          <rPr>
            <b/>
            <sz val="9"/>
            <color indexed="81"/>
            <rFont val="Tahoma"/>
            <family val="2"/>
          </rPr>
          <t xml:space="preserve">
</t>
        </r>
        <r>
          <rPr>
            <sz val="9"/>
            <color indexed="81"/>
            <rFont val="Tahoma"/>
            <family val="2"/>
          </rPr>
          <t xml:space="preserve">
R(t)=exp(-lambda*tempo)
*Probabilidade de sobreviver até ao instante t*
ou
"Probabilidade de ainda estar a trabalhar até ao instante t"</t>
        </r>
      </text>
    </comment>
    <comment ref="AI4" authorId="0">
      <text>
        <r>
          <rPr>
            <b/>
            <sz val="9"/>
            <color indexed="81"/>
            <rFont val="Tahoma"/>
            <family val="2"/>
          </rPr>
          <t>Bruno Neto:</t>
        </r>
        <r>
          <rPr>
            <sz val="9"/>
            <color indexed="81"/>
            <rFont val="Tahoma"/>
            <family val="2"/>
          </rPr>
          <t xml:space="preserve">
( Total_Horas_Trabalho / (Total_horas_trabalho + Horas_paragens_não_programadas) ) * 100</t>
        </r>
      </text>
    </comment>
    <comment ref="AJ4" authorId="0">
      <text>
        <r>
          <rPr>
            <b/>
            <sz val="9"/>
            <color indexed="81"/>
            <rFont val="Tahoma"/>
            <family val="2"/>
          </rPr>
          <t>Bruno Neto:</t>
        </r>
        <r>
          <rPr>
            <sz val="9"/>
            <color indexed="81"/>
            <rFont val="Tahoma"/>
            <family val="2"/>
          </rPr>
          <t xml:space="preserve">
Considerados dias por cada ano 5 a 5.
Aqui coloco o dia de cada ano, independentemente da data da avaria. É igual. Interessa é o lambda desse mesmo ano!</t>
        </r>
      </text>
    </comment>
    <comment ref="AK4" authorId="0">
      <text>
        <r>
          <rPr>
            <b/>
            <sz val="9"/>
            <color indexed="81"/>
            <rFont val="Tahoma"/>
            <family val="2"/>
          </rPr>
          <t>Bruno Neto:</t>
        </r>
        <r>
          <rPr>
            <sz val="9"/>
            <color indexed="81"/>
            <rFont val="Tahoma"/>
            <family val="2"/>
          </rPr>
          <t xml:space="preserve">
Probabilidade de estar a funcionar ao dia AJ##.</t>
        </r>
      </text>
    </comment>
    <comment ref="AL4" authorId="0">
      <text>
        <r>
          <rPr>
            <b/>
            <sz val="9"/>
            <color indexed="81"/>
            <rFont val="Tahoma"/>
            <family val="2"/>
          </rPr>
          <t>Bruno Neto:</t>
        </r>
        <r>
          <rPr>
            <sz val="9"/>
            <color indexed="81"/>
            <rFont val="Tahoma"/>
            <family val="2"/>
          </rPr>
          <t xml:space="preserve">
Probabilidade de estar a funcionar ao dia AJ##.</t>
        </r>
      </text>
    </comment>
    <comment ref="AM4" authorId="0">
      <text>
        <r>
          <rPr>
            <b/>
            <sz val="9"/>
            <color indexed="81"/>
            <rFont val="Tahoma"/>
            <family val="2"/>
          </rPr>
          <t>Bruno Neto:</t>
        </r>
        <r>
          <rPr>
            <sz val="9"/>
            <color indexed="81"/>
            <rFont val="Tahoma"/>
            <family val="2"/>
          </rPr>
          <t xml:space="preserve">
Probabilidade de estar a funcionar ao dia AJ##.</t>
        </r>
      </text>
    </comment>
    <comment ref="AN4" authorId="0">
      <text>
        <r>
          <rPr>
            <b/>
            <sz val="9"/>
            <color indexed="81"/>
            <rFont val="Tahoma"/>
            <family val="2"/>
          </rPr>
          <t>Bruno Neto:</t>
        </r>
        <r>
          <rPr>
            <sz val="9"/>
            <color indexed="81"/>
            <rFont val="Tahoma"/>
            <family val="2"/>
          </rPr>
          <t xml:space="preserve">
Probabilidade de estar a funcionar ao dia AJ##.</t>
        </r>
      </text>
    </comment>
    <comment ref="AO4" authorId="0">
      <text>
        <r>
          <rPr>
            <b/>
            <sz val="9"/>
            <color indexed="81"/>
            <rFont val="Tahoma"/>
            <family val="2"/>
          </rPr>
          <t>Bruno Neto:</t>
        </r>
        <r>
          <rPr>
            <sz val="9"/>
            <color indexed="81"/>
            <rFont val="Tahoma"/>
            <family val="2"/>
          </rPr>
          <t xml:space="preserve">
Probabilidade de estar a funcionar ao dia AJ##.</t>
        </r>
      </text>
    </comment>
    <comment ref="AP4" authorId="0">
      <text>
        <r>
          <rPr>
            <b/>
            <sz val="9"/>
            <color indexed="81"/>
            <rFont val="Tahoma"/>
            <family val="2"/>
          </rPr>
          <t>Bruno Neto:</t>
        </r>
        <r>
          <rPr>
            <sz val="9"/>
            <color indexed="81"/>
            <rFont val="Tahoma"/>
            <family val="2"/>
          </rPr>
          <t xml:space="preserve">
Probabilidade de estar a funcionar ao dia AJ##.</t>
        </r>
      </text>
    </comment>
    <comment ref="AQ4" authorId="0">
      <text>
        <r>
          <rPr>
            <b/>
            <sz val="9"/>
            <color indexed="81"/>
            <rFont val="Tahoma"/>
            <family val="2"/>
          </rPr>
          <t>Bruno Neto:</t>
        </r>
        <r>
          <rPr>
            <sz val="9"/>
            <color indexed="81"/>
            <rFont val="Tahoma"/>
            <family val="2"/>
          </rPr>
          <t xml:space="preserve">
Probabilidade de estar a funcionar ao dia AJ##.</t>
        </r>
      </text>
    </comment>
    <comment ref="AR4" authorId="0">
      <text>
        <r>
          <rPr>
            <b/>
            <sz val="9"/>
            <color indexed="81"/>
            <rFont val="Tahoma"/>
            <family val="2"/>
          </rPr>
          <t>Bruno Neto:</t>
        </r>
        <r>
          <rPr>
            <sz val="9"/>
            <color indexed="81"/>
            <rFont val="Tahoma"/>
            <family val="2"/>
          </rPr>
          <t xml:space="preserve">
Probabilidade de estar a funcionar ao dia AJ##.</t>
        </r>
      </text>
    </comment>
    <comment ref="AS4" authorId="0">
      <text>
        <r>
          <rPr>
            <b/>
            <sz val="9"/>
            <color indexed="81"/>
            <rFont val="Tahoma"/>
            <family val="2"/>
          </rPr>
          <t>Bruno Neto:</t>
        </r>
        <r>
          <rPr>
            <sz val="9"/>
            <color indexed="81"/>
            <rFont val="Tahoma"/>
            <family val="2"/>
          </rPr>
          <t xml:space="preserve">
Probabilidade de estar a funcionar ao dia AJ##.</t>
        </r>
      </text>
    </comment>
    <comment ref="AT4" authorId="0">
      <text>
        <r>
          <rPr>
            <b/>
            <sz val="9"/>
            <color indexed="81"/>
            <rFont val="Tahoma"/>
            <family val="2"/>
          </rPr>
          <t>Bruno Neto:</t>
        </r>
        <r>
          <rPr>
            <sz val="9"/>
            <color indexed="81"/>
            <rFont val="Tahoma"/>
            <family val="2"/>
          </rPr>
          <t xml:space="preserve">
Probabilidade de estar a funcionar ao dia AJ##.</t>
        </r>
      </text>
    </comment>
    <comment ref="AU4" authorId="0">
      <text>
        <r>
          <rPr>
            <b/>
            <sz val="9"/>
            <color indexed="81"/>
            <rFont val="Tahoma"/>
            <family val="2"/>
          </rPr>
          <t>Bruno Neto:</t>
        </r>
        <r>
          <rPr>
            <sz val="9"/>
            <color indexed="81"/>
            <rFont val="Tahoma"/>
            <family val="2"/>
          </rPr>
          <t xml:space="preserve">
Probabilidade de estar a funcionar ao dia AJ##.</t>
        </r>
      </text>
    </comment>
    <comment ref="AV4" authorId="0">
      <text>
        <r>
          <rPr>
            <b/>
            <sz val="9"/>
            <color indexed="81"/>
            <rFont val="Tahoma"/>
            <family val="2"/>
          </rPr>
          <t>Bruno Neto:</t>
        </r>
        <r>
          <rPr>
            <sz val="9"/>
            <color indexed="81"/>
            <rFont val="Tahoma"/>
            <family val="2"/>
          </rPr>
          <t xml:space="preserve">
Probabilidade de estar a funcionar ao dia AJ##.</t>
        </r>
      </text>
    </comment>
    <comment ref="AW4" authorId="0">
      <text>
        <r>
          <rPr>
            <b/>
            <sz val="9"/>
            <color indexed="81"/>
            <rFont val="Tahoma"/>
            <family val="2"/>
          </rPr>
          <t>Bruno Neto:</t>
        </r>
        <r>
          <rPr>
            <sz val="9"/>
            <color indexed="81"/>
            <rFont val="Tahoma"/>
            <family val="2"/>
          </rPr>
          <t xml:space="preserve">
Probabilidade de estar a funcionar ao dia AJ##.</t>
        </r>
      </text>
    </comment>
    <comment ref="AX4" authorId="0">
      <text>
        <r>
          <rPr>
            <b/>
            <sz val="9"/>
            <color indexed="81"/>
            <rFont val="Tahoma"/>
            <family val="2"/>
          </rPr>
          <t>Bruno Neto:</t>
        </r>
        <r>
          <rPr>
            <sz val="9"/>
            <color indexed="81"/>
            <rFont val="Tahoma"/>
            <family val="2"/>
          </rPr>
          <t xml:space="preserve">
Probabilidade de estar a funcionar ao dia AJ##.</t>
        </r>
      </text>
    </comment>
    <comment ref="AY4" authorId="0">
      <text>
        <r>
          <rPr>
            <b/>
            <sz val="9"/>
            <color indexed="81"/>
            <rFont val="Tahoma"/>
            <family val="2"/>
          </rPr>
          <t>Bruno Neto:</t>
        </r>
        <r>
          <rPr>
            <sz val="9"/>
            <color indexed="81"/>
            <rFont val="Tahoma"/>
            <family val="2"/>
          </rPr>
          <t xml:space="preserve">
Probabilidade de estar a funcionar ao dia AJ##.</t>
        </r>
      </text>
    </comment>
    <comment ref="AZ4" authorId="0">
      <text>
        <r>
          <rPr>
            <b/>
            <sz val="9"/>
            <color indexed="81"/>
            <rFont val="Tahoma"/>
            <family val="2"/>
          </rPr>
          <t>Bruno Neto:</t>
        </r>
        <r>
          <rPr>
            <sz val="9"/>
            <color indexed="81"/>
            <rFont val="Tahoma"/>
            <family val="2"/>
          </rPr>
          <t xml:space="preserve">
Probabilidade de estar a funcionar ao dia AJ##.</t>
        </r>
      </text>
    </comment>
    <comment ref="BA4" authorId="0">
      <text>
        <r>
          <rPr>
            <b/>
            <sz val="9"/>
            <color indexed="81"/>
            <rFont val="Tahoma"/>
            <family val="2"/>
          </rPr>
          <t>Bruno Neto:</t>
        </r>
        <r>
          <rPr>
            <sz val="9"/>
            <color indexed="81"/>
            <rFont val="Tahoma"/>
            <family val="2"/>
          </rPr>
          <t xml:space="preserve">
Probabilidade de estar a funcionar ao dia AJ##.</t>
        </r>
      </text>
    </comment>
    <comment ref="BB4" authorId="0">
      <text>
        <r>
          <rPr>
            <b/>
            <sz val="9"/>
            <color indexed="81"/>
            <rFont val="Tahoma"/>
            <family val="2"/>
          </rPr>
          <t>Bruno Neto:</t>
        </r>
        <r>
          <rPr>
            <sz val="9"/>
            <color indexed="81"/>
            <rFont val="Tahoma"/>
            <family val="2"/>
          </rPr>
          <t xml:space="preserve">
Probabilidade de estar a funcionar ao dia AJ##.</t>
        </r>
      </text>
    </comment>
    <comment ref="BC4" authorId="0">
      <text>
        <r>
          <rPr>
            <b/>
            <sz val="9"/>
            <color indexed="81"/>
            <rFont val="Tahoma"/>
            <family val="2"/>
          </rPr>
          <t>Bruno Neto:</t>
        </r>
        <r>
          <rPr>
            <sz val="9"/>
            <color indexed="81"/>
            <rFont val="Tahoma"/>
            <family val="2"/>
          </rPr>
          <t xml:space="preserve">
Probabilidade de estar a funcionar ao dia AJ##.</t>
        </r>
      </text>
    </comment>
    <comment ref="BD4" authorId="0">
      <text>
        <r>
          <rPr>
            <b/>
            <sz val="9"/>
            <color indexed="81"/>
            <rFont val="Tahoma"/>
            <family val="2"/>
          </rPr>
          <t>Bruno Neto:</t>
        </r>
        <r>
          <rPr>
            <sz val="9"/>
            <color indexed="81"/>
            <rFont val="Tahoma"/>
            <family val="2"/>
          </rPr>
          <t xml:space="preserve">
Probabilidade de estar a funcionar ao dia AJ##.</t>
        </r>
      </text>
    </comment>
    <comment ref="BE4" authorId="0">
      <text>
        <r>
          <rPr>
            <b/>
            <sz val="9"/>
            <color indexed="81"/>
            <rFont val="Tahoma"/>
            <family val="2"/>
          </rPr>
          <t>Bruno Neto:</t>
        </r>
        <r>
          <rPr>
            <sz val="9"/>
            <color indexed="81"/>
            <rFont val="Tahoma"/>
            <family val="2"/>
          </rPr>
          <t xml:space="preserve">
Probabilidade de estar a funcionar ao dia AJ##.</t>
        </r>
      </text>
    </comment>
    <comment ref="BF4" authorId="0">
      <text>
        <r>
          <rPr>
            <b/>
            <sz val="9"/>
            <color indexed="81"/>
            <rFont val="Tahoma"/>
            <family val="2"/>
          </rPr>
          <t>Bruno Neto:</t>
        </r>
        <r>
          <rPr>
            <sz val="9"/>
            <color indexed="81"/>
            <rFont val="Tahoma"/>
            <family val="2"/>
          </rPr>
          <t xml:space="preserve">
Probabilidade de estar a funcionar ao dia AJ##.</t>
        </r>
      </text>
    </comment>
    <comment ref="BG4" authorId="0">
      <text>
        <r>
          <rPr>
            <b/>
            <sz val="9"/>
            <color indexed="81"/>
            <rFont val="Tahoma"/>
            <family val="2"/>
          </rPr>
          <t>Bruno Neto:</t>
        </r>
        <r>
          <rPr>
            <sz val="9"/>
            <color indexed="81"/>
            <rFont val="Tahoma"/>
            <family val="2"/>
          </rPr>
          <t xml:space="preserve">
Probabilidade de estar a funcionar ao dia AJ##.</t>
        </r>
      </text>
    </comment>
  </commentList>
</comments>
</file>

<file path=xl/comments22.xml><?xml version="1.0" encoding="utf-8"?>
<comments xmlns="http://schemas.openxmlformats.org/spreadsheetml/2006/main">
  <authors>
    <author>Bruno Neto</author>
  </authors>
  <commentList>
    <comment ref="B2" authorId="0">
      <text>
        <r>
          <rPr>
            <b/>
            <sz val="9"/>
            <color indexed="81"/>
            <rFont val="Tahoma"/>
            <family val="2"/>
          </rPr>
          <t>Bruno Neto:</t>
        </r>
        <r>
          <rPr>
            <sz val="9"/>
            <color indexed="81"/>
            <rFont val="Tahoma"/>
            <family val="2"/>
          </rPr>
          <t xml:space="preserve">
Total de avarias em cada local para o mesmo dia.</t>
        </r>
      </text>
    </comment>
    <comment ref="M4" authorId="0">
      <text>
        <r>
          <rPr>
            <b/>
            <sz val="9"/>
            <color indexed="81"/>
            <rFont val="Tahoma"/>
            <family val="2"/>
          </rPr>
          <t>Bruno Neto:</t>
        </r>
        <r>
          <rPr>
            <sz val="9"/>
            <color indexed="81"/>
            <rFont val="Tahoma"/>
            <family val="2"/>
          </rPr>
          <t xml:space="preserve">
Para cada intervalo de avaria.</t>
        </r>
      </text>
    </comment>
    <comment ref="N4" authorId="0">
      <text>
        <r>
          <rPr>
            <b/>
            <sz val="9"/>
            <color indexed="81"/>
            <rFont val="Tahoma"/>
            <charset val="1"/>
          </rPr>
          <t>Bruno Neto:</t>
        </r>
        <r>
          <rPr>
            <sz val="9"/>
            <color indexed="81"/>
            <rFont val="Tahoma"/>
            <charset val="1"/>
          </rPr>
          <t xml:space="preserve">
Lambda=Nº de falhas / Tempo de operação</t>
        </r>
      </text>
    </comment>
    <comment ref="O4" authorId="0">
      <text>
        <r>
          <rPr>
            <b/>
            <sz val="9"/>
            <color indexed="81"/>
            <rFont val="Tahoma"/>
            <family val="2"/>
          </rPr>
          <t>Bruno Neto:</t>
        </r>
        <r>
          <rPr>
            <sz val="9"/>
            <color indexed="81"/>
            <rFont val="Tahoma"/>
            <family val="2"/>
          </rPr>
          <t xml:space="preserve">
f(t)=Lambda*exp(-lambda*tempo)</t>
        </r>
      </text>
    </comment>
    <comment ref="P4" authorId="0">
      <text>
        <r>
          <rPr>
            <b/>
            <sz val="9"/>
            <color indexed="81"/>
            <rFont val="Tahoma"/>
            <family val="2"/>
          </rPr>
          <t>Bruno Neto:</t>
        </r>
        <r>
          <rPr>
            <sz val="9"/>
            <color indexed="81"/>
            <rFont val="Tahoma"/>
            <family val="2"/>
          </rPr>
          <t xml:space="preserve">
F(t)=1-exp(-lambda*tempo)
*Probabilidade de avariar até ao instante t*</t>
        </r>
      </text>
    </comment>
    <comment ref="Q4" authorId="0">
      <text>
        <r>
          <rPr>
            <b/>
            <sz val="9"/>
            <color indexed="81"/>
            <rFont val="Tahoma"/>
            <family val="2"/>
          </rPr>
          <t>Bruno Neto:</t>
        </r>
        <r>
          <rPr>
            <sz val="9"/>
            <color indexed="81"/>
            <rFont val="Tahoma"/>
            <family val="2"/>
          </rPr>
          <t xml:space="preserve">
R(t)=exp(-lmbda*tempo)
*Probabilidade de sobreviver até ao instante t*</t>
        </r>
      </text>
    </comment>
    <comment ref="X4" authorId="0">
      <text>
        <r>
          <rPr>
            <b/>
            <sz val="9"/>
            <color indexed="81"/>
            <rFont val="Tahoma"/>
            <family val="2"/>
          </rPr>
          <t>Bruno Neto:</t>
        </r>
        <r>
          <rPr>
            <sz val="9"/>
            <color indexed="81"/>
            <rFont val="Tahoma"/>
            <family val="2"/>
          </rPr>
          <t xml:space="preserve">
Quantidade de avarias que ocorreram por ano em determinado local.</t>
        </r>
      </text>
    </comment>
    <comment ref="Y4" authorId="0">
      <text>
        <r>
          <rPr>
            <b/>
            <sz val="9"/>
            <color indexed="81"/>
            <rFont val="Tahoma"/>
            <family val="2"/>
          </rPr>
          <t>Bruno Neto:</t>
        </r>
        <r>
          <rPr>
            <sz val="9"/>
            <color indexed="81"/>
            <rFont val="Tahoma"/>
            <family val="2"/>
          </rPr>
          <t xml:space="preserve">
Tempo total fora de serviço.</t>
        </r>
      </text>
    </comment>
    <comment ref="Z4" authorId="0">
      <text>
        <r>
          <rPr>
            <b/>
            <sz val="9"/>
            <color indexed="81"/>
            <rFont val="Tahoma"/>
            <family val="2"/>
          </rPr>
          <t>Bruno Neto:</t>
        </r>
        <r>
          <rPr>
            <sz val="9"/>
            <color indexed="81"/>
            <rFont val="Tahoma"/>
            <family val="2"/>
          </rPr>
          <t xml:space="preserve">
=( (minutos_por_ano)-Tempo_total_KO) / Frequência</t>
        </r>
      </text>
    </comment>
    <comment ref="AA4" authorId="0">
      <text>
        <r>
          <rPr>
            <b/>
            <sz val="9"/>
            <color indexed="81"/>
            <rFont val="Tahoma"/>
            <family val="2"/>
          </rPr>
          <t>Bruno Neto:</t>
        </r>
        <r>
          <rPr>
            <sz val="9"/>
            <color indexed="81"/>
            <rFont val="Tahoma"/>
            <family val="2"/>
          </rPr>
          <t xml:space="preserve">
Conversão do MTBF de minutos para dias.</t>
        </r>
      </text>
    </comment>
    <comment ref="AB4" authorId="0">
      <text>
        <r>
          <rPr>
            <b/>
            <sz val="9"/>
            <color indexed="81"/>
            <rFont val="Tahoma"/>
            <family val="2"/>
          </rPr>
          <t>Bruno Neto:</t>
        </r>
        <r>
          <rPr>
            <sz val="9"/>
            <color indexed="81"/>
            <rFont val="Tahoma"/>
            <family val="2"/>
          </rPr>
          <t xml:space="preserve">
Tempo_total_KO / Frequência</t>
        </r>
      </text>
    </comment>
    <comment ref="AC4" authorId="0">
      <text>
        <r>
          <rPr>
            <b/>
            <sz val="9"/>
            <color indexed="81"/>
            <rFont val="Tahoma"/>
            <family val="2"/>
          </rPr>
          <t>Bruno Neto:</t>
        </r>
        <r>
          <rPr>
            <sz val="9"/>
            <color indexed="81"/>
            <rFont val="Tahoma"/>
            <family val="2"/>
          </rPr>
          <t xml:space="preserve">
Tempo_total_KO - Média_tempo_avaria</t>
        </r>
      </text>
    </comment>
    <comment ref="AD4" authorId="0">
      <text>
        <r>
          <rPr>
            <b/>
            <sz val="9"/>
            <color indexed="81"/>
            <rFont val="Tahoma"/>
            <family val="2"/>
          </rPr>
          <t>Bruno Neto:</t>
        </r>
        <r>
          <rPr>
            <sz val="9"/>
            <color indexed="81"/>
            <rFont val="Tahoma"/>
            <family val="2"/>
          </rPr>
          <t xml:space="preserve">
Para cada intervalo de avaria.
=RAIZQ((Desvio_aux) / Frequência)
Nota: CONTAR(XX:YY)</t>
        </r>
      </text>
    </comment>
    <comment ref="AE4" authorId="0">
      <text>
        <r>
          <rPr>
            <b/>
            <sz val="9"/>
            <color indexed="81"/>
            <rFont val="Tahoma"/>
            <charset val="1"/>
          </rPr>
          <t>Bruno Neto:</t>
        </r>
        <r>
          <rPr>
            <sz val="9"/>
            <color indexed="81"/>
            <rFont val="Tahoma"/>
            <charset val="1"/>
          </rPr>
          <t xml:space="preserve">
Lambda=Nº de falhas / Tempo de operação
ou
Lambda=1/MTBF</t>
        </r>
      </text>
    </comment>
    <comment ref="AF4" authorId="0">
      <text>
        <r>
          <rPr>
            <b/>
            <sz val="9"/>
            <color indexed="81"/>
            <rFont val="Tahoma"/>
            <family val="2"/>
          </rPr>
          <t xml:space="preserve">Bruno Neto:
Função densidade da distribuição exponencial:
</t>
        </r>
        <r>
          <rPr>
            <sz val="9"/>
            <color indexed="81"/>
            <rFont val="Tahoma"/>
            <family val="2"/>
          </rPr>
          <t>(gráfico decrescente)</t>
        </r>
        <r>
          <rPr>
            <b/>
            <sz val="9"/>
            <color indexed="81"/>
            <rFont val="Tahoma"/>
            <family val="2"/>
          </rPr>
          <t xml:space="preserve">
</t>
        </r>
        <r>
          <rPr>
            <sz val="9"/>
            <color indexed="81"/>
            <rFont val="Tahoma"/>
            <family val="2"/>
          </rPr>
          <t xml:space="preserve">
f(t)=Lambda*exp(-lambda*tempo)
f(t)=Probabilidade de falha
t=Tempo de funcionamento
lambda=Ritmo médio de falhas</t>
        </r>
      </text>
    </comment>
    <comment ref="AG4" authorId="0">
      <text>
        <r>
          <rPr>
            <b/>
            <sz val="9"/>
            <color indexed="81"/>
            <rFont val="Tahoma"/>
            <family val="2"/>
          </rPr>
          <t xml:space="preserve">Bruno Neto:
Função de distribuição acumulada
</t>
        </r>
        <r>
          <rPr>
            <sz val="9"/>
            <color indexed="81"/>
            <rFont val="Tahoma"/>
            <family val="2"/>
          </rPr>
          <t>(Gráfico crescente)</t>
        </r>
        <r>
          <rPr>
            <b/>
            <sz val="9"/>
            <color indexed="81"/>
            <rFont val="Tahoma"/>
            <family val="2"/>
          </rPr>
          <t xml:space="preserve">
</t>
        </r>
        <r>
          <rPr>
            <sz val="9"/>
            <color indexed="81"/>
            <rFont val="Tahoma"/>
            <family val="2"/>
          </rPr>
          <t xml:space="preserve">
F(t)=1-exp(-lambda*tempo)
*Probabilidade de avariar até ao instante t*</t>
        </r>
      </text>
    </comment>
    <comment ref="AH4" authorId="0">
      <text>
        <r>
          <rPr>
            <b/>
            <sz val="9"/>
            <color indexed="81"/>
            <rFont val="Tahoma"/>
            <family val="2"/>
          </rPr>
          <t xml:space="preserve">Bruno Neto:
Função de fiabilidade R(t):
</t>
        </r>
        <r>
          <rPr>
            <sz val="9"/>
            <color indexed="81"/>
            <rFont val="Tahoma"/>
            <family val="2"/>
          </rPr>
          <t>(Função exponencial negativa)</t>
        </r>
        <r>
          <rPr>
            <b/>
            <sz val="9"/>
            <color indexed="81"/>
            <rFont val="Tahoma"/>
            <family val="2"/>
          </rPr>
          <t xml:space="preserve">
</t>
        </r>
        <r>
          <rPr>
            <sz val="9"/>
            <color indexed="81"/>
            <rFont val="Tahoma"/>
            <family val="2"/>
          </rPr>
          <t xml:space="preserve">
R(t)=exp(-lambda*tempo)
*Probabilidade de sobreviver até ao instante t*
ou
"Probabilidade de ainda estar a trabalhar até ao instante t"</t>
        </r>
      </text>
    </comment>
    <comment ref="AI4" authorId="0">
      <text>
        <r>
          <rPr>
            <b/>
            <sz val="9"/>
            <color indexed="81"/>
            <rFont val="Tahoma"/>
            <family val="2"/>
          </rPr>
          <t>Bruno Neto:</t>
        </r>
        <r>
          <rPr>
            <sz val="9"/>
            <color indexed="81"/>
            <rFont val="Tahoma"/>
            <family val="2"/>
          </rPr>
          <t xml:space="preserve">
( Total_Horas_Trabalho / (Total_horas_trabalho + Horas_paragens_não_programadas) ) * 100</t>
        </r>
      </text>
    </comment>
    <comment ref="AJ4" authorId="0">
      <text>
        <r>
          <rPr>
            <b/>
            <sz val="9"/>
            <color indexed="81"/>
            <rFont val="Tahoma"/>
            <family val="2"/>
          </rPr>
          <t>Bruno Neto:</t>
        </r>
        <r>
          <rPr>
            <sz val="9"/>
            <color indexed="81"/>
            <rFont val="Tahoma"/>
            <family val="2"/>
          </rPr>
          <t xml:space="preserve">
Considerados dias por cada ano 5 a 5.
Aqui coloco o dia de cada ano, independentemente da data da avaria. É igual. Interessa é o lambda desse mesmo ano!</t>
        </r>
      </text>
    </comment>
    <comment ref="AK4" authorId="0">
      <text>
        <r>
          <rPr>
            <b/>
            <sz val="9"/>
            <color indexed="81"/>
            <rFont val="Tahoma"/>
            <family val="2"/>
          </rPr>
          <t>Bruno Neto:</t>
        </r>
        <r>
          <rPr>
            <sz val="9"/>
            <color indexed="81"/>
            <rFont val="Tahoma"/>
            <family val="2"/>
          </rPr>
          <t xml:space="preserve">
Probabilidade de estar a funcionar ao dia AJ##.</t>
        </r>
      </text>
    </comment>
    <comment ref="AL4" authorId="0">
      <text>
        <r>
          <rPr>
            <b/>
            <sz val="9"/>
            <color indexed="81"/>
            <rFont val="Tahoma"/>
            <family val="2"/>
          </rPr>
          <t>Bruno Neto:</t>
        </r>
        <r>
          <rPr>
            <sz val="9"/>
            <color indexed="81"/>
            <rFont val="Tahoma"/>
            <family val="2"/>
          </rPr>
          <t xml:space="preserve">
Probabilidade de estar a funcionar ao dia AJ##.</t>
        </r>
      </text>
    </comment>
    <comment ref="AM4" authorId="0">
      <text>
        <r>
          <rPr>
            <b/>
            <sz val="9"/>
            <color indexed="81"/>
            <rFont val="Tahoma"/>
            <family val="2"/>
          </rPr>
          <t>Bruno Neto:</t>
        </r>
        <r>
          <rPr>
            <sz val="9"/>
            <color indexed="81"/>
            <rFont val="Tahoma"/>
            <family val="2"/>
          </rPr>
          <t xml:space="preserve">
Probabilidade de estar a funcionar ao dia AJ##.</t>
        </r>
      </text>
    </comment>
    <comment ref="AN4" authorId="0">
      <text>
        <r>
          <rPr>
            <b/>
            <sz val="9"/>
            <color indexed="81"/>
            <rFont val="Tahoma"/>
            <family val="2"/>
          </rPr>
          <t>Bruno Neto:</t>
        </r>
        <r>
          <rPr>
            <sz val="9"/>
            <color indexed="81"/>
            <rFont val="Tahoma"/>
            <family val="2"/>
          </rPr>
          <t xml:space="preserve">
Probabilidade de estar a funcionar ao dia AJ##.</t>
        </r>
      </text>
    </comment>
    <comment ref="AO4" authorId="0">
      <text>
        <r>
          <rPr>
            <b/>
            <sz val="9"/>
            <color indexed="81"/>
            <rFont val="Tahoma"/>
            <family val="2"/>
          </rPr>
          <t>Bruno Neto:</t>
        </r>
        <r>
          <rPr>
            <sz val="9"/>
            <color indexed="81"/>
            <rFont val="Tahoma"/>
            <family val="2"/>
          </rPr>
          <t xml:space="preserve">
Probabilidade de estar a funcionar ao dia AJ##.</t>
        </r>
      </text>
    </comment>
    <comment ref="AP4" authorId="0">
      <text>
        <r>
          <rPr>
            <b/>
            <sz val="9"/>
            <color indexed="81"/>
            <rFont val="Tahoma"/>
            <family val="2"/>
          </rPr>
          <t>Bruno Neto:</t>
        </r>
        <r>
          <rPr>
            <sz val="9"/>
            <color indexed="81"/>
            <rFont val="Tahoma"/>
            <family val="2"/>
          </rPr>
          <t xml:space="preserve">
Probabilidade de estar a funcionar ao dia AJ##.</t>
        </r>
      </text>
    </comment>
  </commentList>
</comments>
</file>

<file path=xl/comments23.xml><?xml version="1.0" encoding="utf-8"?>
<comments xmlns="http://schemas.openxmlformats.org/spreadsheetml/2006/main">
  <authors>
    <author>Bruno Neto</author>
  </authors>
  <commentList>
    <comment ref="B2" authorId="0">
      <text>
        <r>
          <rPr>
            <b/>
            <sz val="9"/>
            <color indexed="81"/>
            <rFont val="Tahoma"/>
            <family val="2"/>
          </rPr>
          <t>Bruno Neto:</t>
        </r>
        <r>
          <rPr>
            <sz val="9"/>
            <color indexed="81"/>
            <rFont val="Tahoma"/>
            <family val="2"/>
          </rPr>
          <t xml:space="preserve">
Total de avarias em cada local para o mesmo dia.</t>
        </r>
      </text>
    </comment>
    <comment ref="M4" authorId="0">
      <text>
        <r>
          <rPr>
            <b/>
            <sz val="9"/>
            <color indexed="81"/>
            <rFont val="Tahoma"/>
            <family val="2"/>
          </rPr>
          <t>Bruno Neto:</t>
        </r>
        <r>
          <rPr>
            <sz val="9"/>
            <color indexed="81"/>
            <rFont val="Tahoma"/>
            <family val="2"/>
          </rPr>
          <t xml:space="preserve">
Para cada intervalo de avaria.</t>
        </r>
      </text>
    </comment>
    <comment ref="N4" authorId="0">
      <text>
        <r>
          <rPr>
            <b/>
            <sz val="9"/>
            <color indexed="81"/>
            <rFont val="Tahoma"/>
            <charset val="1"/>
          </rPr>
          <t>Bruno Neto:</t>
        </r>
        <r>
          <rPr>
            <sz val="9"/>
            <color indexed="81"/>
            <rFont val="Tahoma"/>
            <charset val="1"/>
          </rPr>
          <t xml:space="preserve">
Lambda=Nº de falhas / Tempo de operação</t>
        </r>
      </text>
    </comment>
    <comment ref="O4" authorId="0">
      <text>
        <r>
          <rPr>
            <b/>
            <sz val="9"/>
            <color indexed="81"/>
            <rFont val="Tahoma"/>
            <family val="2"/>
          </rPr>
          <t>Bruno Neto:</t>
        </r>
        <r>
          <rPr>
            <sz val="9"/>
            <color indexed="81"/>
            <rFont val="Tahoma"/>
            <family val="2"/>
          </rPr>
          <t xml:space="preserve">
f(t)=Lambda*exp(-lambda*tempo)</t>
        </r>
      </text>
    </comment>
    <comment ref="P4" authorId="0">
      <text>
        <r>
          <rPr>
            <b/>
            <sz val="9"/>
            <color indexed="81"/>
            <rFont val="Tahoma"/>
            <family val="2"/>
          </rPr>
          <t>Bruno Neto:</t>
        </r>
        <r>
          <rPr>
            <sz val="9"/>
            <color indexed="81"/>
            <rFont val="Tahoma"/>
            <family val="2"/>
          </rPr>
          <t xml:space="preserve">
F(t)=1-exp(-lambda*tempo)
*Probabilidade de avariar até ao instante t*</t>
        </r>
      </text>
    </comment>
    <comment ref="Q4" authorId="0">
      <text>
        <r>
          <rPr>
            <b/>
            <sz val="9"/>
            <color indexed="81"/>
            <rFont val="Tahoma"/>
            <family val="2"/>
          </rPr>
          <t>Bruno Neto:</t>
        </r>
        <r>
          <rPr>
            <sz val="9"/>
            <color indexed="81"/>
            <rFont val="Tahoma"/>
            <family val="2"/>
          </rPr>
          <t xml:space="preserve">
R(t)=exp(-lmbda*tempo)
*Probabilidade de sobreviver até ao instante t*</t>
        </r>
      </text>
    </comment>
    <comment ref="X4" authorId="0">
      <text>
        <r>
          <rPr>
            <b/>
            <sz val="9"/>
            <color indexed="81"/>
            <rFont val="Tahoma"/>
            <family val="2"/>
          </rPr>
          <t>Bruno Neto:</t>
        </r>
        <r>
          <rPr>
            <sz val="9"/>
            <color indexed="81"/>
            <rFont val="Tahoma"/>
            <family val="2"/>
          </rPr>
          <t xml:space="preserve">
Quantidade de avarias que ocorreram por ano em determinado local.</t>
        </r>
      </text>
    </comment>
    <comment ref="Y4" authorId="0">
      <text>
        <r>
          <rPr>
            <b/>
            <sz val="9"/>
            <color indexed="81"/>
            <rFont val="Tahoma"/>
            <family val="2"/>
          </rPr>
          <t>Bruno Neto:</t>
        </r>
        <r>
          <rPr>
            <sz val="9"/>
            <color indexed="81"/>
            <rFont val="Tahoma"/>
            <family val="2"/>
          </rPr>
          <t xml:space="preserve">
Tempo total fora de serviço.</t>
        </r>
      </text>
    </comment>
    <comment ref="Z4" authorId="0">
      <text>
        <r>
          <rPr>
            <b/>
            <sz val="9"/>
            <color indexed="81"/>
            <rFont val="Tahoma"/>
            <family val="2"/>
          </rPr>
          <t>Bruno Neto:</t>
        </r>
        <r>
          <rPr>
            <sz val="9"/>
            <color indexed="81"/>
            <rFont val="Tahoma"/>
            <family val="2"/>
          </rPr>
          <t xml:space="preserve">
=( (minutos_por_ano)-Tempo_total_KO) / Frequência</t>
        </r>
      </text>
    </comment>
    <comment ref="AA4" authorId="0">
      <text>
        <r>
          <rPr>
            <b/>
            <sz val="9"/>
            <color indexed="81"/>
            <rFont val="Tahoma"/>
            <family val="2"/>
          </rPr>
          <t>Bruno Neto:</t>
        </r>
        <r>
          <rPr>
            <sz val="9"/>
            <color indexed="81"/>
            <rFont val="Tahoma"/>
            <family val="2"/>
          </rPr>
          <t xml:space="preserve">
Conversão do MTBF de minutos para dias.</t>
        </r>
      </text>
    </comment>
    <comment ref="AB4" authorId="0">
      <text>
        <r>
          <rPr>
            <b/>
            <sz val="9"/>
            <color indexed="81"/>
            <rFont val="Tahoma"/>
            <family val="2"/>
          </rPr>
          <t>Bruno Neto:</t>
        </r>
        <r>
          <rPr>
            <sz val="9"/>
            <color indexed="81"/>
            <rFont val="Tahoma"/>
            <family val="2"/>
          </rPr>
          <t xml:space="preserve">
Tempo_total_KO / Frequência</t>
        </r>
      </text>
    </comment>
    <comment ref="AC4" authorId="0">
      <text>
        <r>
          <rPr>
            <b/>
            <sz val="9"/>
            <color indexed="81"/>
            <rFont val="Tahoma"/>
            <family val="2"/>
          </rPr>
          <t>Bruno Neto:</t>
        </r>
        <r>
          <rPr>
            <sz val="9"/>
            <color indexed="81"/>
            <rFont val="Tahoma"/>
            <family val="2"/>
          </rPr>
          <t xml:space="preserve">
Tempo_total_KO - Média_tempo_avaria</t>
        </r>
      </text>
    </comment>
    <comment ref="AD4" authorId="0">
      <text>
        <r>
          <rPr>
            <b/>
            <sz val="9"/>
            <color indexed="81"/>
            <rFont val="Tahoma"/>
            <family val="2"/>
          </rPr>
          <t>Bruno Neto:</t>
        </r>
        <r>
          <rPr>
            <sz val="9"/>
            <color indexed="81"/>
            <rFont val="Tahoma"/>
            <family val="2"/>
          </rPr>
          <t xml:space="preserve">
Para cada intervalo de avaria.
=RAIZQ((Desvio_aux) / Frequência)
Nota: CONTAR(XX:YY)</t>
        </r>
      </text>
    </comment>
    <comment ref="AE4" authorId="0">
      <text>
        <r>
          <rPr>
            <b/>
            <sz val="9"/>
            <color indexed="81"/>
            <rFont val="Tahoma"/>
            <charset val="1"/>
          </rPr>
          <t>Bruno Neto:</t>
        </r>
        <r>
          <rPr>
            <sz val="9"/>
            <color indexed="81"/>
            <rFont val="Tahoma"/>
            <charset val="1"/>
          </rPr>
          <t xml:space="preserve">
Lambda=Nº de falhas / Tempo de operação
ou
Lambda=1/MTBF</t>
        </r>
      </text>
    </comment>
    <comment ref="AF4" authorId="0">
      <text>
        <r>
          <rPr>
            <b/>
            <sz val="9"/>
            <color indexed="81"/>
            <rFont val="Tahoma"/>
            <family val="2"/>
          </rPr>
          <t xml:space="preserve">Bruno Neto:
Função densidade da distribuição exponencial:
</t>
        </r>
        <r>
          <rPr>
            <sz val="9"/>
            <color indexed="81"/>
            <rFont val="Tahoma"/>
            <family val="2"/>
          </rPr>
          <t>(gráfico decrescente)</t>
        </r>
        <r>
          <rPr>
            <b/>
            <sz val="9"/>
            <color indexed="81"/>
            <rFont val="Tahoma"/>
            <family val="2"/>
          </rPr>
          <t xml:space="preserve">
</t>
        </r>
        <r>
          <rPr>
            <sz val="9"/>
            <color indexed="81"/>
            <rFont val="Tahoma"/>
            <family val="2"/>
          </rPr>
          <t xml:space="preserve">
f(t)=Lambda*exp(-lambda*tempo)
f(t)=Probabilidade de falha
t=Tempo de funcionamento
lambda=Ritmo médio de falhas</t>
        </r>
      </text>
    </comment>
    <comment ref="AG4" authorId="0">
      <text>
        <r>
          <rPr>
            <b/>
            <sz val="9"/>
            <color indexed="81"/>
            <rFont val="Tahoma"/>
            <family val="2"/>
          </rPr>
          <t xml:space="preserve">Bruno Neto:
Função de distribuição acumulada
</t>
        </r>
        <r>
          <rPr>
            <sz val="9"/>
            <color indexed="81"/>
            <rFont val="Tahoma"/>
            <family val="2"/>
          </rPr>
          <t>(Gráfico crescente)</t>
        </r>
        <r>
          <rPr>
            <b/>
            <sz val="9"/>
            <color indexed="81"/>
            <rFont val="Tahoma"/>
            <family val="2"/>
          </rPr>
          <t xml:space="preserve">
</t>
        </r>
        <r>
          <rPr>
            <sz val="9"/>
            <color indexed="81"/>
            <rFont val="Tahoma"/>
            <family val="2"/>
          </rPr>
          <t xml:space="preserve">
F(t)=1-exp(-lambda*tempo)
*Probabilidade de avariar até ao instante t*</t>
        </r>
      </text>
    </comment>
    <comment ref="AH4" authorId="0">
      <text>
        <r>
          <rPr>
            <b/>
            <sz val="9"/>
            <color indexed="81"/>
            <rFont val="Tahoma"/>
            <family val="2"/>
          </rPr>
          <t xml:space="preserve">Bruno Neto:
Função de fiabilidade R(t):
</t>
        </r>
        <r>
          <rPr>
            <sz val="9"/>
            <color indexed="81"/>
            <rFont val="Tahoma"/>
            <family val="2"/>
          </rPr>
          <t>(Função exponencial negativa)</t>
        </r>
        <r>
          <rPr>
            <b/>
            <sz val="9"/>
            <color indexed="81"/>
            <rFont val="Tahoma"/>
            <family val="2"/>
          </rPr>
          <t xml:space="preserve">
</t>
        </r>
        <r>
          <rPr>
            <sz val="9"/>
            <color indexed="81"/>
            <rFont val="Tahoma"/>
            <family val="2"/>
          </rPr>
          <t xml:space="preserve">
R(t)=exp(-lambda*tempo)
*Probabilidade de sobreviver até ao instante t*
ou
"Probabilidade de ainda estar a trabalhar até ao instante t"</t>
        </r>
      </text>
    </comment>
    <comment ref="AI4" authorId="0">
      <text>
        <r>
          <rPr>
            <b/>
            <sz val="9"/>
            <color indexed="81"/>
            <rFont val="Tahoma"/>
            <family val="2"/>
          </rPr>
          <t>Bruno Neto:</t>
        </r>
        <r>
          <rPr>
            <sz val="9"/>
            <color indexed="81"/>
            <rFont val="Tahoma"/>
            <family val="2"/>
          </rPr>
          <t xml:space="preserve">
( Total_Horas_Trabalho / (Total_horas_trabalho + Horas_paragens_não_programadas) ) * 100</t>
        </r>
      </text>
    </comment>
    <comment ref="AJ4" authorId="0">
      <text>
        <r>
          <rPr>
            <b/>
            <sz val="9"/>
            <color indexed="81"/>
            <rFont val="Tahoma"/>
            <family val="2"/>
          </rPr>
          <t>Bruno Neto:</t>
        </r>
        <r>
          <rPr>
            <sz val="9"/>
            <color indexed="81"/>
            <rFont val="Tahoma"/>
            <family val="2"/>
          </rPr>
          <t xml:space="preserve">
Considerados dias por cada ano 5 a 5.
Aqui coloco o dia de cada ano, independentemente da data da avaria. É igual. Interessa é o lambda desse mesmo ano!</t>
        </r>
      </text>
    </comment>
    <comment ref="AK4" authorId="0">
      <text>
        <r>
          <rPr>
            <b/>
            <sz val="9"/>
            <color indexed="81"/>
            <rFont val="Tahoma"/>
            <family val="2"/>
          </rPr>
          <t>Bruno Neto:</t>
        </r>
        <r>
          <rPr>
            <sz val="9"/>
            <color indexed="81"/>
            <rFont val="Tahoma"/>
            <family val="2"/>
          </rPr>
          <t xml:space="preserve">
Probabilidade de estar a funcionar ao dia AJ##.</t>
        </r>
      </text>
    </comment>
    <comment ref="AL4" authorId="0">
      <text>
        <r>
          <rPr>
            <b/>
            <sz val="9"/>
            <color indexed="81"/>
            <rFont val="Tahoma"/>
            <family val="2"/>
          </rPr>
          <t>Bruno Neto:</t>
        </r>
        <r>
          <rPr>
            <sz val="9"/>
            <color indexed="81"/>
            <rFont val="Tahoma"/>
            <family val="2"/>
          </rPr>
          <t xml:space="preserve">
Probabilidade de estar a funcionar ao dia AJ##.</t>
        </r>
      </text>
    </comment>
    <comment ref="AM4" authorId="0">
      <text>
        <r>
          <rPr>
            <b/>
            <sz val="9"/>
            <color indexed="81"/>
            <rFont val="Tahoma"/>
            <family val="2"/>
          </rPr>
          <t>Bruno Neto:</t>
        </r>
        <r>
          <rPr>
            <sz val="9"/>
            <color indexed="81"/>
            <rFont val="Tahoma"/>
            <family val="2"/>
          </rPr>
          <t xml:space="preserve">
Probabilidade de estar a funcionar ao dia AJ##.</t>
        </r>
      </text>
    </comment>
    <comment ref="AN4" authorId="0">
      <text>
        <r>
          <rPr>
            <b/>
            <sz val="9"/>
            <color indexed="81"/>
            <rFont val="Tahoma"/>
            <family val="2"/>
          </rPr>
          <t>Bruno Neto:</t>
        </r>
        <r>
          <rPr>
            <sz val="9"/>
            <color indexed="81"/>
            <rFont val="Tahoma"/>
            <family val="2"/>
          </rPr>
          <t xml:space="preserve">
Probabilidade de estar a funcionar ao dia AJ##.</t>
        </r>
      </text>
    </comment>
    <comment ref="AO4" authorId="0">
      <text>
        <r>
          <rPr>
            <b/>
            <sz val="9"/>
            <color indexed="81"/>
            <rFont val="Tahoma"/>
            <family val="2"/>
          </rPr>
          <t>Bruno Neto:</t>
        </r>
        <r>
          <rPr>
            <sz val="9"/>
            <color indexed="81"/>
            <rFont val="Tahoma"/>
            <family val="2"/>
          </rPr>
          <t xml:space="preserve">
Probabilidade de estar a funcionar ao dia AJ##.</t>
        </r>
      </text>
    </comment>
  </commentList>
</comments>
</file>

<file path=xl/comments24.xml><?xml version="1.0" encoding="utf-8"?>
<comments xmlns="http://schemas.openxmlformats.org/spreadsheetml/2006/main">
  <authors>
    <author>Bruno Neto</author>
  </authors>
  <commentList>
    <comment ref="B2" authorId="0">
      <text>
        <r>
          <rPr>
            <b/>
            <sz val="9"/>
            <color indexed="81"/>
            <rFont val="Tahoma"/>
            <family val="2"/>
          </rPr>
          <t>Bruno Neto:</t>
        </r>
        <r>
          <rPr>
            <sz val="9"/>
            <color indexed="81"/>
            <rFont val="Tahoma"/>
            <family val="2"/>
          </rPr>
          <t xml:space="preserve">
Total de avarias em cada local para o mesmo dia.</t>
        </r>
      </text>
    </comment>
    <comment ref="M4" authorId="0">
      <text>
        <r>
          <rPr>
            <b/>
            <sz val="9"/>
            <color indexed="81"/>
            <rFont val="Tahoma"/>
            <family val="2"/>
          </rPr>
          <t>Bruno Neto:</t>
        </r>
        <r>
          <rPr>
            <sz val="9"/>
            <color indexed="81"/>
            <rFont val="Tahoma"/>
            <family val="2"/>
          </rPr>
          <t xml:space="preserve">
Para cada intervalo de avaria.</t>
        </r>
      </text>
    </comment>
    <comment ref="N4" authorId="0">
      <text>
        <r>
          <rPr>
            <b/>
            <sz val="9"/>
            <color indexed="81"/>
            <rFont val="Tahoma"/>
            <charset val="1"/>
          </rPr>
          <t>Bruno Neto:</t>
        </r>
        <r>
          <rPr>
            <sz val="9"/>
            <color indexed="81"/>
            <rFont val="Tahoma"/>
            <charset val="1"/>
          </rPr>
          <t xml:space="preserve">
Lambda=Nº de falhas / Tempo de operação</t>
        </r>
      </text>
    </comment>
    <comment ref="O4" authorId="0">
      <text>
        <r>
          <rPr>
            <b/>
            <sz val="9"/>
            <color indexed="81"/>
            <rFont val="Tahoma"/>
            <family val="2"/>
          </rPr>
          <t>Bruno Neto:</t>
        </r>
        <r>
          <rPr>
            <sz val="9"/>
            <color indexed="81"/>
            <rFont val="Tahoma"/>
            <family val="2"/>
          </rPr>
          <t xml:space="preserve">
f(t)=Lambda*exp(-lambda*tempo)</t>
        </r>
      </text>
    </comment>
    <comment ref="P4" authorId="0">
      <text>
        <r>
          <rPr>
            <b/>
            <sz val="9"/>
            <color indexed="81"/>
            <rFont val="Tahoma"/>
            <family val="2"/>
          </rPr>
          <t>Bruno Neto:</t>
        </r>
        <r>
          <rPr>
            <sz val="9"/>
            <color indexed="81"/>
            <rFont val="Tahoma"/>
            <family val="2"/>
          </rPr>
          <t xml:space="preserve">
F(t)=1-exp(-lambda*tempo)
*Probabilidade de avariar até ao instante t*</t>
        </r>
      </text>
    </comment>
    <comment ref="Q4" authorId="0">
      <text>
        <r>
          <rPr>
            <b/>
            <sz val="9"/>
            <color indexed="81"/>
            <rFont val="Tahoma"/>
            <family val="2"/>
          </rPr>
          <t>Bruno Neto:</t>
        </r>
        <r>
          <rPr>
            <sz val="9"/>
            <color indexed="81"/>
            <rFont val="Tahoma"/>
            <family val="2"/>
          </rPr>
          <t xml:space="preserve">
R(t)=exp(-lmbda*tempo)
*Probabilidade de sobreviver até ao instante t*</t>
        </r>
      </text>
    </comment>
    <comment ref="X4" authorId="0">
      <text>
        <r>
          <rPr>
            <b/>
            <sz val="9"/>
            <color indexed="81"/>
            <rFont val="Tahoma"/>
            <family val="2"/>
          </rPr>
          <t>Bruno Neto:</t>
        </r>
        <r>
          <rPr>
            <sz val="9"/>
            <color indexed="81"/>
            <rFont val="Tahoma"/>
            <family val="2"/>
          </rPr>
          <t xml:space="preserve">
Quantidade de avarias que ocorreram por ano em determinado local.</t>
        </r>
      </text>
    </comment>
    <comment ref="Y4" authorId="0">
      <text>
        <r>
          <rPr>
            <b/>
            <sz val="9"/>
            <color indexed="81"/>
            <rFont val="Tahoma"/>
            <family val="2"/>
          </rPr>
          <t>Bruno Neto:</t>
        </r>
        <r>
          <rPr>
            <sz val="9"/>
            <color indexed="81"/>
            <rFont val="Tahoma"/>
            <family val="2"/>
          </rPr>
          <t xml:space="preserve">
Tempo total fora de serviço.</t>
        </r>
      </text>
    </comment>
    <comment ref="Z4" authorId="0">
      <text>
        <r>
          <rPr>
            <b/>
            <sz val="9"/>
            <color indexed="81"/>
            <rFont val="Tahoma"/>
            <family val="2"/>
          </rPr>
          <t>Bruno Neto:</t>
        </r>
        <r>
          <rPr>
            <sz val="9"/>
            <color indexed="81"/>
            <rFont val="Tahoma"/>
            <family val="2"/>
          </rPr>
          <t xml:space="preserve">
=( (minutos_por_ano)-Tempo_total_KO) / Frequência</t>
        </r>
      </text>
    </comment>
    <comment ref="AA4" authorId="0">
      <text>
        <r>
          <rPr>
            <b/>
            <sz val="9"/>
            <color indexed="81"/>
            <rFont val="Tahoma"/>
            <family val="2"/>
          </rPr>
          <t>Bruno Neto:</t>
        </r>
        <r>
          <rPr>
            <sz val="9"/>
            <color indexed="81"/>
            <rFont val="Tahoma"/>
            <family val="2"/>
          </rPr>
          <t xml:space="preserve">
Conversão do MTBF de minutos para dias.</t>
        </r>
      </text>
    </comment>
    <comment ref="AB4" authorId="0">
      <text>
        <r>
          <rPr>
            <b/>
            <sz val="9"/>
            <color indexed="81"/>
            <rFont val="Tahoma"/>
            <family val="2"/>
          </rPr>
          <t>Bruno Neto:</t>
        </r>
        <r>
          <rPr>
            <sz val="9"/>
            <color indexed="81"/>
            <rFont val="Tahoma"/>
            <family val="2"/>
          </rPr>
          <t xml:space="preserve">
Tempo_total_KO / Frequência</t>
        </r>
      </text>
    </comment>
    <comment ref="AC4" authorId="0">
      <text>
        <r>
          <rPr>
            <b/>
            <sz val="9"/>
            <color indexed="81"/>
            <rFont val="Tahoma"/>
            <family val="2"/>
          </rPr>
          <t>Bruno Neto:</t>
        </r>
        <r>
          <rPr>
            <sz val="9"/>
            <color indexed="81"/>
            <rFont val="Tahoma"/>
            <family val="2"/>
          </rPr>
          <t xml:space="preserve">
Tempo_total_KO - Média_tempo_avaria</t>
        </r>
      </text>
    </comment>
    <comment ref="AD4" authorId="0">
      <text>
        <r>
          <rPr>
            <b/>
            <sz val="9"/>
            <color indexed="81"/>
            <rFont val="Tahoma"/>
            <family val="2"/>
          </rPr>
          <t>Bruno Neto:</t>
        </r>
        <r>
          <rPr>
            <sz val="9"/>
            <color indexed="81"/>
            <rFont val="Tahoma"/>
            <family val="2"/>
          </rPr>
          <t xml:space="preserve">
Para cada intervalo de avaria.
=RAIZQ((Desvio_aux) / Frequência)
Nota: CONTAR(XX:YY)</t>
        </r>
      </text>
    </comment>
    <comment ref="AE4" authorId="0">
      <text>
        <r>
          <rPr>
            <b/>
            <sz val="9"/>
            <color indexed="81"/>
            <rFont val="Tahoma"/>
            <charset val="1"/>
          </rPr>
          <t>Bruno Neto:</t>
        </r>
        <r>
          <rPr>
            <sz val="9"/>
            <color indexed="81"/>
            <rFont val="Tahoma"/>
            <charset val="1"/>
          </rPr>
          <t xml:space="preserve">
Lambda=Nº de falhas / Tempo de operação
ou
Lambda=1/MTBF</t>
        </r>
      </text>
    </comment>
    <comment ref="AF4" authorId="0">
      <text>
        <r>
          <rPr>
            <b/>
            <sz val="9"/>
            <color indexed="81"/>
            <rFont val="Tahoma"/>
            <family val="2"/>
          </rPr>
          <t xml:space="preserve">Bruno Neto:
Função densidade da distribuição exponencial:
</t>
        </r>
        <r>
          <rPr>
            <sz val="9"/>
            <color indexed="81"/>
            <rFont val="Tahoma"/>
            <family val="2"/>
          </rPr>
          <t>(gráfico decrescente)</t>
        </r>
        <r>
          <rPr>
            <b/>
            <sz val="9"/>
            <color indexed="81"/>
            <rFont val="Tahoma"/>
            <family val="2"/>
          </rPr>
          <t xml:space="preserve">
</t>
        </r>
        <r>
          <rPr>
            <sz val="9"/>
            <color indexed="81"/>
            <rFont val="Tahoma"/>
            <family val="2"/>
          </rPr>
          <t xml:space="preserve">
f(t)=Lambda*exp(-lambda*tempo)
f(t)=Probabilidade de falha
t=Tempo de funcionamento
lambda=Ritmo médio de falhas</t>
        </r>
      </text>
    </comment>
    <comment ref="AG4" authorId="0">
      <text>
        <r>
          <rPr>
            <b/>
            <sz val="9"/>
            <color indexed="81"/>
            <rFont val="Tahoma"/>
            <family val="2"/>
          </rPr>
          <t xml:space="preserve">Bruno Neto:
Função de distribuição acumulada
</t>
        </r>
        <r>
          <rPr>
            <sz val="9"/>
            <color indexed="81"/>
            <rFont val="Tahoma"/>
            <family val="2"/>
          </rPr>
          <t>(Gráfico crescente)</t>
        </r>
        <r>
          <rPr>
            <b/>
            <sz val="9"/>
            <color indexed="81"/>
            <rFont val="Tahoma"/>
            <family val="2"/>
          </rPr>
          <t xml:space="preserve">
</t>
        </r>
        <r>
          <rPr>
            <sz val="9"/>
            <color indexed="81"/>
            <rFont val="Tahoma"/>
            <family val="2"/>
          </rPr>
          <t xml:space="preserve">
F(t)=1-exp(-lambda*tempo)
*Probabilidade de avariar até ao instante t*</t>
        </r>
      </text>
    </comment>
    <comment ref="AH4" authorId="0">
      <text>
        <r>
          <rPr>
            <b/>
            <sz val="9"/>
            <color indexed="81"/>
            <rFont val="Tahoma"/>
            <family val="2"/>
          </rPr>
          <t xml:space="preserve">Bruno Neto:
Função de fiabilidade R(t):
</t>
        </r>
        <r>
          <rPr>
            <sz val="9"/>
            <color indexed="81"/>
            <rFont val="Tahoma"/>
            <family val="2"/>
          </rPr>
          <t>(Função exponencial negativa)</t>
        </r>
        <r>
          <rPr>
            <b/>
            <sz val="9"/>
            <color indexed="81"/>
            <rFont val="Tahoma"/>
            <family val="2"/>
          </rPr>
          <t xml:space="preserve">
</t>
        </r>
        <r>
          <rPr>
            <sz val="9"/>
            <color indexed="81"/>
            <rFont val="Tahoma"/>
            <family val="2"/>
          </rPr>
          <t xml:space="preserve">
R(t)=exp(-lambda*tempo)
*Probabilidade de sobreviver até ao instante t*
ou
"Probabilidade de ainda estar a trabalhar até ao instante t"</t>
        </r>
      </text>
    </comment>
    <comment ref="AI4" authorId="0">
      <text>
        <r>
          <rPr>
            <b/>
            <sz val="9"/>
            <color indexed="81"/>
            <rFont val="Tahoma"/>
            <family val="2"/>
          </rPr>
          <t>Bruno Neto:</t>
        </r>
        <r>
          <rPr>
            <sz val="9"/>
            <color indexed="81"/>
            <rFont val="Tahoma"/>
            <family val="2"/>
          </rPr>
          <t xml:space="preserve">
( Total_Horas_Trabalho / (Total_horas_trabalho + Horas_paragens_não_programadas) ) * 100</t>
        </r>
      </text>
    </comment>
    <comment ref="AJ4" authorId="0">
      <text>
        <r>
          <rPr>
            <b/>
            <sz val="9"/>
            <color indexed="81"/>
            <rFont val="Tahoma"/>
            <family val="2"/>
          </rPr>
          <t>Bruno Neto:</t>
        </r>
        <r>
          <rPr>
            <sz val="9"/>
            <color indexed="81"/>
            <rFont val="Tahoma"/>
            <family val="2"/>
          </rPr>
          <t xml:space="preserve">
Considerados dias por cada ano 5 a 5.
Aqui coloco o dia de cada ano, independentemente da data da avaria. É igual. Interessa é o lambda desse mesmo ano!</t>
        </r>
      </text>
    </comment>
    <comment ref="AK4" authorId="0">
      <text>
        <r>
          <rPr>
            <b/>
            <sz val="9"/>
            <color indexed="81"/>
            <rFont val="Tahoma"/>
            <family val="2"/>
          </rPr>
          <t>Bruno Neto:</t>
        </r>
        <r>
          <rPr>
            <sz val="9"/>
            <color indexed="81"/>
            <rFont val="Tahoma"/>
            <family val="2"/>
          </rPr>
          <t xml:space="preserve">
Probabilidade de estar a funcionar ao dia AJ##.</t>
        </r>
      </text>
    </comment>
    <comment ref="AL4" authorId="0">
      <text>
        <r>
          <rPr>
            <b/>
            <sz val="9"/>
            <color indexed="81"/>
            <rFont val="Tahoma"/>
            <family val="2"/>
          </rPr>
          <t>Bruno Neto:</t>
        </r>
        <r>
          <rPr>
            <sz val="9"/>
            <color indexed="81"/>
            <rFont val="Tahoma"/>
            <family val="2"/>
          </rPr>
          <t xml:space="preserve">
Probabilidade de estar a funcionar ao dia AJ##.</t>
        </r>
      </text>
    </comment>
    <comment ref="AM4" authorId="0">
      <text>
        <r>
          <rPr>
            <b/>
            <sz val="9"/>
            <color indexed="81"/>
            <rFont val="Tahoma"/>
            <family val="2"/>
          </rPr>
          <t>Bruno Neto:</t>
        </r>
        <r>
          <rPr>
            <sz val="9"/>
            <color indexed="81"/>
            <rFont val="Tahoma"/>
            <family val="2"/>
          </rPr>
          <t xml:space="preserve">
Probabilidade de estar a funcionar ao dia AJ##.</t>
        </r>
      </text>
    </comment>
    <comment ref="AN4" authorId="0">
      <text>
        <r>
          <rPr>
            <b/>
            <sz val="9"/>
            <color indexed="81"/>
            <rFont val="Tahoma"/>
            <family val="2"/>
          </rPr>
          <t>Bruno Neto:</t>
        </r>
        <r>
          <rPr>
            <sz val="9"/>
            <color indexed="81"/>
            <rFont val="Tahoma"/>
            <family val="2"/>
          </rPr>
          <t xml:space="preserve">
Probabilidade de estar a funcionar ao dia AJ##.</t>
        </r>
      </text>
    </comment>
    <comment ref="AO4" authorId="0">
      <text>
        <r>
          <rPr>
            <b/>
            <sz val="9"/>
            <color indexed="81"/>
            <rFont val="Tahoma"/>
            <family val="2"/>
          </rPr>
          <t>Bruno Neto:</t>
        </r>
        <r>
          <rPr>
            <sz val="9"/>
            <color indexed="81"/>
            <rFont val="Tahoma"/>
            <family val="2"/>
          </rPr>
          <t xml:space="preserve">
Probabilidade de estar a funcionar ao dia AJ##.</t>
        </r>
      </text>
    </comment>
    <comment ref="AP4" authorId="0">
      <text>
        <r>
          <rPr>
            <b/>
            <sz val="9"/>
            <color indexed="81"/>
            <rFont val="Tahoma"/>
            <family val="2"/>
          </rPr>
          <t>Bruno Neto:</t>
        </r>
        <r>
          <rPr>
            <sz val="9"/>
            <color indexed="81"/>
            <rFont val="Tahoma"/>
            <family val="2"/>
          </rPr>
          <t xml:space="preserve">
Probabilidade de estar a funcionar ao dia AJ##.</t>
        </r>
      </text>
    </comment>
    <comment ref="AQ4" authorId="0">
      <text>
        <r>
          <rPr>
            <b/>
            <sz val="9"/>
            <color indexed="81"/>
            <rFont val="Tahoma"/>
            <family val="2"/>
          </rPr>
          <t>Bruno Neto:</t>
        </r>
        <r>
          <rPr>
            <sz val="9"/>
            <color indexed="81"/>
            <rFont val="Tahoma"/>
            <family val="2"/>
          </rPr>
          <t xml:space="preserve">
Probabilidade de estar a funcionar ao dia AJ##.</t>
        </r>
      </text>
    </comment>
    <comment ref="AR4" authorId="0">
      <text>
        <r>
          <rPr>
            <b/>
            <sz val="9"/>
            <color indexed="81"/>
            <rFont val="Tahoma"/>
            <family val="2"/>
          </rPr>
          <t>Bruno Neto:</t>
        </r>
        <r>
          <rPr>
            <sz val="9"/>
            <color indexed="81"/>
            <rFont val="Tahoma"/>
            <family val="2"/>
          </rPr>
          <t xml:space="preserve">
Probabilidade de estar a funcionar ao dia AJ##.</t>
        </r>
      </text>
    </comment>
  </commentList>
</comments>
</file>

<file path=xl/comments25.xml><?xml version="1.0" encoding="utf-8"?>
<comments xmlns="http://schemas.openxmlformats.org/spreadsheetml/2006/main">
  <authors>
    <author>Bruno Neto</author>
  </authors>
  <commentList>
    <comment ref="B2" authorId="0">
      <text>
        <r>
          <rPr>
            <b/>
            <sz val="9"/>
            <color indexed="81"/>
            <rFont val="Tahoma"/>
            <family val="2"/>
          </rPr>
          <t>Bruno Neto:</t>
        </r>
        <r>
          <rPr>
            <sz val="9"/>
            <color indexed="81"/>
            <rFont val="Tahoma"/>
            <family val="2"/>
          </rPr>
          <t xml:space="preserve">
Total de avarias em cada local para o mesmo dia.</t>
        </r>
      </text>
    </comment>
    <comment ref="M4" authorId="0">
      <text>
        <r>
          <rPr>
            <b/>
            <sz val="9"/>
            <color indexed="81"/>
            <rFont val="Tahoma"/>
            <family val="2"/>
          </rPr>
          <t>Bruno Neto:</t>
        </r>
        <r>
          <rPr>
            <sz val="9"/>
            <color indexed="81"/>
            <rFont val="Tahoma"/>
            <family val="2"/>
          </rPr>
          <t xml:space="preserve">
Para cada intervalo de avaria.</t>
        </r>
      </text>
    </comment>
    <comment ref="N4" authorId="0">
      <text>
        <r>
          <rPr>
            <b/>
            <sz val="9"/>
            <color indexed="81"/>
            <rFont val="Tahoma"/>
            <charset val="1"/>
          </rPr>
          <t>Bruno Neto:</t>
        </r>
        <r>
          <rPr>
            <sz val="9"/>
            <color indexed="81"/>
            <rFont val="Tahoma"/>
            <charset val="1"/>
          </rPr>
          <t xml:space="preserve">
Lambda=Nº de falhas / Tempo de operação</t>
        </r>
      </text>
    </comment>
    <comment ref="O4" authorId="0">
      <text>
        <r>
          <rPr>
            <b/>
            <sz val="9"/>
            <color indexed="81"/>
            <rFont val="Tahoma"/>
            <family val="2"/>
          </rPr>
          <t>Bruno Neto:</t>
        </r>
        <r>
          <rPr>
            <sz val="9"/>
            <color indexed="81"/>
            <rFont val="Tahoma"/>
            <family val="2"/>
          </rPr>
          <t xml:space="preserve">
f(t)=Lambda*exp(-lambda*tempo)</t>
        </r>
      </text>
    </comment>
    <comment ref="P4" authorId="0">
      <text>
        <r>
          <rPr>
            <b/>
            <sz val="9"/>
            <color indexed="81"/>
            <rFont val="Tahoma"/>
            <family val="2"/>
          </rPr>
          <t>Bruno Neto:</t>
        </r>
        <r>
          <rPr>
            <sz val="9"/>
            <color indexed="81"/>
            <rFont val="Tahoma"/>
            <family val="2"/>
          </rPr>
          <t xml:space="preserve">
F(t)=1-exp(-lambda*tempo)
*Probabilidade de avariar até ao instante t*</t>
        </r>
      </text>
    </comment>
    <comment ref="Q4" authorId="0">
      <text>
        <r>
          <rPr>
            <b/>
            <sz val="9"/>
            <color indexed="81"/>
            <rFont val="Tahoma"/>
            <family val="2"/>
          </rPr>
          <t>Bruno Neto:</t>
        </r>
        <r>
          <rPr>
            <sz val="9"/>
            <color indexed="81"/>
            <rFont val="Tahoma"/>
            <family val="2"/>
          </rPr>
          <t xml:space="preserve">
R(t)=exp(-lmbda*tempo)
*Probabilidade de sobreviver até ao instante t*</t>
        </r>
      </text>
    </comment>
    <comment ref="X4" authorId="0">
      <text>
        <r>
          <rPr>
            <b/>
            <sz val="9"/>
            <color indexed="81"/>
            <rFont val="Tahoma"/>
            <family val="2"/>
          </rPr>
          <t>Bruno Neto:</t>
        </r>
        <r>
          <rPr>
            <sz val="9"/>
            <color indexed="81"/>
            <rFont val="Tahoma"/>
            <family val="2"/>
          </rPr>
          <t xml:space="preserve">
Quantidade de avarias que ocorreram por ano em determinado local.</t>
        </r>
      </text>
    </comment>
    <comment ref="Y4" authorId="0">
      <text>
        <r>
          <rPr>
            <b/>
            <sz val="9"/>
            <color indexed="81"/>
            <rFont val="Tahoma"/>
            <family val="2"/>
          </rPr>
          <t>Bruno Neto:</t>
        </r>
        <r>
          <rPr>
            <sz val="9"/>
            <color indexed="81"/>
            <rFont val="Tahoma"/>
            <family val="2"/>
          </rPr>
          <t xml:space="preserve">
Tempo total fora de serviço.</t>
        </r>
      </text>
    </comment>
    <comment ref="Z4" authorId="0">
      <text>
        <r>
          <rPr>
            <b/>
            <sz val="9"/>
            <color indexed="81"/>
            <rFont val="Tahoma"/>
            <family val="2"/>
          </rPr>
          <t>Bruno Neto:</t>
        </r>
        <r>
          <rPr>
            <sz val="9"/>
            <color indexed="81"/>
            <rFont val="Tahoma"/>
            <family val="2"/>
          </rPr>
          <t xml:space="preserve">
=( (minutos_por_ano)-Tempo_total_KO) / Frequência</t>
        </r>
      </text>
    </comment>
    <comment ref="AA4" authorId="0">
      <text>
        <r>
          <rPr>
            <b/>
            <sz val="9"/>
            <color indexed="81"/>
            <rFont val="Tahoma"/>
            <family val="2"/>
          </rPr>
          <t>Bruno Neto:</t>
        </r>
        <r>
          <rPr>
            <sz val="9"/>
            <color indexed="81"/>
            <rFont val="Tahoma"/>
            <family val="2"/>
          </rPr>
          <t xml:space="preserve">
Conversão do MTBF de minutos para dias.</t>
        </r>
      </text>
    </comment>
    <comment ref="AB4" authorId="0">
      <text>
        <r>
          <rPr>
            <b/>
            <sz val="9"/>
            <color indexed="81"/>
            <rFont val="Tahoma"/>
            <family val="2"/>
          </rPr>
          <t>Bruno Neto:</t>
        </r>
        <r>
          <rPr>
            <sz val="9"/>
            <color indexed="81"/>
            <rFont val="Tahoma"/>
            <family val="2"/>
          </rPr>
          <t xml:space="preserve">
Tempo_total_KO / Frequência</t>
        </r>
      </text>
    </comment>
    <comment ref="AC4" authorId="0">
      <text>
        <r>
          <rPr>
            <b/>
            <sz val="9"/>
            <color indexed="81"/>
            <rFont val="Tahoma"/>
            <family val="2"/>
          </rPr>
          <t>Bruno Neto:</t>
        </r>
        <r>
          <rPr>
            <sz val="9"/>
            <color indexed="81"/>
            <rFont val="Tahoma"/>
            <family val="2"/>
          </rPr>
          <t xml:space="preserve">
Tempo_total_KO - Média_tempo_avaria</t>
        </r>
      </text>
    </comment>
    <comment ref="AD4" authorId="0">
      <text>
        <r>
          <rPr>
            <b/>
            <sz val="9"/>
            <color indexed="81"/>
            <rFont val="Tahoma"/>
            <family val="2"/>
          </rPr>
          <t>Bruno Neto:</t>
        </r>
        <r>
          <rPr>
            <sz val="9"/>
            <color indexed="81"/>
            <rFont val="Tahoma"/>
            <family val="2"/>
          </rPr>
          <t xml:space="preserve">
Para cada intervalo de avaria.
=RAIZQ((Desvio_aux) / Frequência)
Nota: CONTAR(XX:YY)</t>
        </r>
      </text>
    </comment>
    <comment ref="AE4" authorId="0">
      <text>
        <r>
          <rPr>
            <b/>
            <sz val="9"/>
            <color indexed="81"/>
            <rFont val="Tahoma"/>
            <charset val="1"/>
          </rPr>
          <t>Bruno Neto:</t>
        </r>
        <r>
          <rPr>
            <sz val="9"/>
            <color indexed="81"/>
            <rFont val="Tahoma"/>
            <charset val="1"/>
          </rPr>
          <t xml:space="preserve">
Lambda=Nº de falhas / Tempo de operação
ou
Lambda=1/MTBF</t>
        </r>
      </text>
    </comment>
    <comment ref="AF4" authorId="0">
      <text>
        <r>
          <rPr>
            <b/>
            <sz val="9"/>
            <color indexed="81"/>
            <rFont val="Tahoma"/>
            <family val="2"/>
          </rPr>
          <t xml:space="preserve">Bruno Neto:
Função densidade da distribuição exponencial:
</t>
        </r>
        <r>
          <rPr>
            <sz val="9"/>
            <color indexed="81"/>
            <rFont val="Tahoma"/>
            <family val="2"/>
          </rPr>
          <t>(gráfico decrescente)</t>
        </r>
        <r>
          <rPr>
            <b/>
            <sz val="9"/>
            <color indexed="81"/>
            <rFont val="Tahoma"/>
            <family val="2"/>
          </rPr>
          <t xml:space="preserve">
</t>
        </r>
        <r>
          <rPr>
            <sz val="9"/>
            <color indexed="81"/>
            <rFont val="Tahoma"/>
            <family val="2"/>
          </rPr>
          <t xml:space="preserve">
f(t)=Lambda*exp(-lambda*tempo)
f(t)=Probabilidade de falha
t=Tempo de funcionamento
lambda=Ritmo médio de falhas</t>
        </r>
      </text>
    </comment>
    <comment ref="AG4" authorId="0">
      <text>
        <r>
          <rPr>
            <b/>
            <sz val="9"/>
            <color indexed="81"/>
            <rFont val="Tahoma"/>
            <family val="2"/>
          </rPr>
          <t xml:space="preserve">Bruno Neto:
Função de distribuição acumulada
</t>
        </r>
        <r>
          <rPr>
            <sz val="9"/>
            <color indexed="81"/>
            <rFont val="Tahoma"/>
            <family val="2"/>
          </rPr>
          <t>(Gráfico crescente)</t>
        </r>
        <r>
          <rPr>
            <b/>
            <sz val="9"/>
            <color indexed="81"/>
            <rFont val="Tahoma"/>
            <family val="2"/>
          </rPr>
          <t xml:space="preserve">
</t>
        </r>
        <r>
          <rPr>
            <sz val="9"/>
            <color indexed="81"/>
            <rFont val="Tahoma"/>
            <family val="2"/>
          </rPr>
          <t xml:space="preserve">
F(t)=1-exp(-lambda*tempo)
*Probabilidade de avariar até ao instante t*</t>
        </r>
      </text>
    </comment>
    <comment ref="AH4" authorId="0">
      <text>
        <r>
          <rPr>
            <b/>
            <sz val="9"/>
            <color indexed="81"/>
            <rFont val="Tahoma"/>
            <family val="2"/>
          </rPr>
          <t xml:space="preserve">Bruno Neto:
Função de fiabilidade R(t):
</t>
        </r>
        <r>
          <rPr>
            <sz val="9"/>
            <color indexed="81"/>
            <rFont val="Tahoma"/>
            <family val="2"/>
          </rPr>
          <t>(Função exponencial negativa)</t>
        </r>
        <r>
          <rPr>
            <b/>
            <sz val="9"/>
            <color indexed="81"/>
            <rFont val="Tahoma"/>
            <family val="2"/>
          </rPr>
          <t xml:space="preserve">
</t>
        </r>
        <r>
          <rPr>
            <sz val="9"/>
            <color indexed="81"/>
            <rFont val="Tahoma"/>
            <family val="2"/>
          </rPr>
          <t xml:space="preserve">
R(t)=exp(-lambda*tempo)
*Probabilidade de sobreviver até ao instante t*
ou
"Probabilidade de ainda estar a trabalhar até ao instante t"</t>
        </r>
      </text>
    </comment>
    <comment ref="AI4" authorId="0">
      <text>
        <r>
          <rPr>
            <b/>
            <sz val="9"/>
            <color indexed="81"/>
            <rFont val="Tahoma"/>
            <family val="2"/>
          </rPr>
          <t>Bruno Neto:</t>
        </r>
        <r>
          <rPr>
            <sz val="9"/>
            <color indexed="81"/>
            <rFont val="Tahoma"/>
            <family val="2"/>
          </rPr>
          <t xml:space="preserve">
( Total_Horas_Trabalho / (Total_horas_trabalho + Horas_paragens_não_programadas) ) * 100</t>
        </r>
      </text>
    </comment>
    <comment ref="AJ4" authorId="0">
      <text>
        <r>
          <rPr>
            <b/>
            <sz val="9"/>
            <color indexed="81"/>
            <rFont val="Tahoma"/>
            <family val="2"/>
          </rPr>
          <t>Bruno Neto:</t>
        </r>
        <r>
          <rPr>
            <sz val="9"/>
            <color indexed="81"/>
            <rFont val="Tahoma"/>
            <family val="2"/>
          </rPr>
          <t xml:space="preserve">
Considerados dias por cada ano 5 a 5.
Aqui coloco o dia de cada ano, independentemente da data da avaria. É igual. Interessa é o lambda desse mesmo ano!</t>
        </r>
      </text>
    </comment>
    <comment ref="AK4" authorId="0">
      <text>
        <r>
          <rPr>
            <b/>
            <sz val="9"/>
            <color indexed="81"/>
            <rFont val="Tahoma"/>
            <family val="2"/>
          </rPr>
          <t>Bruno Neto:</t>
        </r>
        <r>
          <rPr>
            <sz val="9"/>
            <color indexed="81"/>
            <rFont val="Tahoma"/>
            <family val="2"/>
          </rPr>
          <t xml:space="preserve">
Probabilidade de estar a funcionar ao dia AJ##.</t>
        </r>
      </text>
    </comment>
    <comment ref="AL4" authorId="0">
      <text>
        <r>
          <rPr>
            <b/>
            <sz val="9"/>
            <color indexed="81"/>
            <rFont val="Tahoma"/>
            <family val="2"/>
          </rPr>
          <t>Bruno Neto:</t>
        </r>
        <r>
          <rPr>
            <sz val="9"/>
            <color indexed="81"/>
            <rFont val="Tahoma"/>
            <family val="2"/>
          </rPr>
          <t xml:space="preserve">
Probabilidade de estar a funcionar ao dia AJ##.</t>
        </r>
      </text>
    </comment>
    <comment ref="AM4" authorId="0">
      <text>
        <r>
          <rPr>
            <b/>
            <sz val="9"/>
            <color indexed="81"/>
            <rFont val="Tahoma"/>
            <family val="2"/>
          </rPr>
          <t>Bruno Neto:</t>
        </r>
        <r>
          <rPr>
            <sz val="9"/>
            <color indexed="81"/>
            <rFont val="Tahoma"/>
            <family val="2"/>
          </rPr>
          <t xml:space="preserve">
Probabilidade de estar a funcionar ao dia AJ##.</t>
        </r>
      </text>
    </comment>
    <comment ref="AN4" authorId="0">
      <text>
        <r>
          <rPr>
            <b/>
            <sz val="9"/>
            <color indexed="81"/>
            <rFont val="Tahoma"/>
            <family val="2"/>
          </rPr>
          <t>Bruno Neto:</t>
        </r>
        <r>
          <rPr>
            <sz val="9"/>
            <color indexed="81"/>
            <rFont val="Tahoma"/>
            <family val="2"/>
          </rPr>
          <t xml:space="preserve">
Probabilidade de estar a funcionar ao dia AJ##.</t>
        </r>
      </text>
    </comment>
    <comment ref="AO4" authorId="0">
      <text>
        <r>
          <rPr>
            <b/>
            <sz val="9"/>
            <color indexed="81"/>
            <rFont val="Tahoma"/>
            <family val="2"/>
          </rPr>
          <t>Bruno Neto:</t>
        </r>
        <r>
          <rPr>
            <sz val="9"/>
            <color indexed="81"/>
            <rFont val="Tahoma"/>
            <family val="2"/>
          </rPr>
          <t xml:space="preserve">
Probabilidade de estar a funcionar ao dia AJ##.</t>
        </r>
      </text>
    </comment>
    <comment ref="AP4" authorId="0">
      <text>
        <r>
          <rPr>
            <b/>
            <sz val="9"/>
            <color indexed="81"/>
            <rFont val="Tahoma"/>
            <family val="2"/>
          </rPr>
          <t>Bruno Neto:</t>
        </r>
        <r>
          <rPr>
            <sz val="9"/>
            <color indexed="81"/>
            <rFont val="Tahoma"/>
            <family val="2"/>
          </rPr>
          <t xml:space="preserve">
Probabilidade de estar a funcionar ao dia AJ##.</t>
        </r>
      </text>
    </comment>
    <comment ref="AQ4" authorId="0">
      <text>
        <r>
          <rPr>
            <b/>
            <sz val="9"/>
            <color indexed="81"/>
            <rFont val="Tahoma"/>
            <family val="2"/>
          </rPr>
          <t>Bruno Neto:</t>
        </r>
        <r>
          <rPr>
            <sz val="9"/>
            <color indexed="81"/>
            <rFont val="Tahoma"/>
            <family val="2"/>
          </rPr>
          <t xml:space="preserve">
Probabilidade de estar a funcionar ao dia AJ##.</t>
        </r>
      </text>
    </comment>
    <comment ref="AR4" authorId="0">
      <text>
        <r>
          <rPr>
            <b/>
            <sz val="9"/>
            <color indexed="81"/>
            <rFont val="Tahoma"/>
            <family val="2"/>
          </rPr>
          <t>Bruno Neto:</t>
        </r>
        <r>
          <rPr>
            <sz val="9"/>
            <color indexed="81"/>
            <rFont val="Tahoma"/>
            <family val="2"/>
          </rPr>
          <t xml:space="preserve">
Probabilidade de estar a funcionar ao dia AJ##.</t>
        </r>
      </text>
    </comment>
    <comment ref="AS4" authorId="0">
      <text>
        <r>
          <rPr>
            <b/>
            <sz val="9"/>
            <color indexed="81"/>
            <rFont val="Tahoma"/>
            <family val="2"/>
          </rPr>
          <t>Bruno Neto:</t>
        </r>
        <r>
          <rPr>
            <sz val="9"/>
            <color indexed="81"/>
            <rFont val="Tahoma"/>
            <family val="2"/>
          </rPr>
          <t xml:space="preserve">
Probabilidade de estar a funcionar ao dia AJ##.</t>
        </r>
      </text>
    </comment>
    <comment ref="AT4" authorId="0">
      <text>
        <r>
          <rPr>
            <b/>
            <sz val="9"/>
            <color indexed="81"/>
            <rFont val="Tahoma"/>
            <family val="2"/>
          </rPr>
          <t>Bruno Neto:</t>
        </r>
        <r>
          <rPr>
            <sz val="9"/>
            <color indexed="81"/>
            <rFont val="Tahoma"/>
            <family val="2"/>
          </rPr>
          <t xml:space="preserve">
Probabilidade de estar a funcionar ao dia AJ##.</t>
        </r>
      </text>
    </comment>
    <comment ref="AU4" authorId="0">
      <text>
        <r>
          <rPr>
            <b/>
            <sz val="9"/>
            <color indexed="81"/>
            <rFont val="Tahoma"/>
            <family val="2"/>
          </rPr>
          <t>Bruno Neto:</t>
        </r>
        <r>
          <rPr>
            <sz val="9"/>
            <color indexed="81"/>
            <rFont val="Tahoma"/>
            <family val="2"/>
          </rPr>
          <t xml:space="preserve">
Probabilidade de estar a funcionar ao dia AJ##.</t>
        </r>
      </text>
    </comment>
    <comment ref="AV4" authorId="0">
      <text>
        <r>
          <rPr>
            <b/>
            <sz val="9"/>
            <color indexed="81"/>
            <rFont val="Tahoma"/>
            <family val="2"/>
          </rPr>
          <t>Bruno Neto:</t>
        </r>
        <r>
          <rPr>
            <sz val="9"/>
            <color indexed="81"/>
            <rFont val="Tahoma"/>
            <family val="2"/>
          </rPr>
          <t xml:space="preserve">
Probabilidade de estar a funcionar ao dia AJ##.</t>
        </r>
      </text>
    </comment>
    <comment ref="AW4" authorId="0">
      <text>
        <r>
          <rPr>
            <b/>
            <sz val="9"/>
            <color indexed="81"/>
            <rFont val="Tahoma"/>
            <family val="2"/>
          </rPr>
          <t>Bruno Neto:</t>
        </r>
        <r>
          <rPr>
            <sz val="9"/>
            <color indexed="81"/>
            <rFont val="Tahoma"/>
            <family val="2"/>
          </rPr>
          <t xml:space="preserve">
Probabilidade de estar a funcionar ao dia AJ##.</t>
        </r>
      </text>
    </comment>
    <comment ref="AX4" authorId="0">
      <text>
        <r>
          <rPr>
            <b/>
            <sz val="9"/>
            <color indexed="81"/>
            <rFont val="Tahoma"/>
            <family val="2"/>
          </rPr>
          <t>Bruno Neto:</t>
        </r>
        <r>
          <rPr>
            <sz val="9"/>
            <color indexed="81"/>
            <rFont val="Tahoma"/>
            <family val="2"/>
          </rPr>
          <t xml:space="preserve">
Probabilidade de estar a funcionar ao dia AJ##.</t>
        </r>
      </text>
    </comment>
    <comment ref="AY4" authorId="0">
      <text>
        <r>
          <rPr>
            <b/>
            <sz val="9"/>
            <color indexed="81"/>
            <rFont val="Tahoma"/>
            <family val="2"/>
          </rPr>
          <t>Bruno Neto:</t>
        </r>
        <r>
          <rPr>
            <sz val="9"/>
            <color indexed="81"/>
            <rFont val="Tahoma"/>
            <family val="2"/>
          </rPr>
          <t xml:space="preserve">
Probabilidade de estar a funcionar ao dia AJ##.</t>
        </r>
      </text>
    </comment>
    <comment ref="AZ4" authorId="0">
      <text>
        <r>
          <rPr>
            <b/>
            <sz val="9"/>
            <color indexed="81"/>
            <rFont val="Tahoma"/>
            <family val="2"/>
          </rPr>
          <t>Bruno Neto:</t>
        </r>
        <r>
          <rPr>
            <sz val="9"/>
            <color indexed="81"/>
            <rFont val="Tahoma"/>
            <family val="2"/>
          </rPr>
          <t xml:space="preserve">
Probabilidade de estar a funcionar ao dia AJ##.</t>
        </r>
      </text>
    </comment>
    <comment ref="BA4" authorId="0">
      <text>
        <r>
          <rPr>
            <b/>
            <sz val="9"/>
            <color indexed="81"/>
            <rFont val="Tahoma"/>
            <family val="2"/>
          </rPr>
          <t>Bruno Neto:</t>
        </r>
        <r>
          <rPr>
            <sz val="9"/>
            <color indexed="81"/>
            <rFont val="Tahoma"/>
            <family val="2"/>
          </rPr>
          <t xml:space="preserve">
Probabilidade de estar a funcionar ao dia AJ##.</t>
        </r>
      </text>
    </comment>
    <comment ref="BB4" authorId="0">
      <text>
        <r>
          <rPr>
            <b/>
            <sz val="9"/>
            <color indexed="81"/>
            <rFont val="Tahoma"/>
            <family val="2"/>
          </rPr>
          <t>Bruno Neto:</t>
        </r>
        <r>
          <rPr>
            <sz val="9"/>
            <color indexed="81"/>
            <rFont val="Tahoma"/>
            <family val="2"/>
          </rPr>
          <t xml:space="preserve">
Probabilidade de estar a funcionar ao dia AJ##.</t>
        </r>
      </text>
    </comment>
    <comment ref="BC4" authorId="0">
      <text>
        <r>
          <rPr>
            <b/>
            <sz val="9"/>
            <color indexed="81"/>
            <rFont val="Tahoma"/>
            <family val="2"/>
          </rPr>
          <t>Bruno Neto:</t>
        </r>
        <r>
          <rPr>
            <sz val="9"/>
            <color indexed="81"/>
            <rFont val="Tahoma"/>
            <family val="2"/>
          </rPr>
          <t xml:space="preserve">
Probabilidade de estar a funcionar ao dia AJ##.</t>
        </r>
      </text>
    </comment>
  </commentList>
</comments>
</file>

<file path=xl/comments26.xml><?xml version="1.0" encoding="utf-8"?>
<comments xmlns="http://schemas.openxmlformats.org/spreadsheetml/2006/main">
  <authors>
    <author>Bruno Neto</author>
  </authors>
  <commentList>
    <comment ref="L4" authorId="0">
      <text>
        <r>
          <rPr>
            <b/>
            <sz val="9"/>
            <color indexed="81"/>
            <rFont val="Tahoma"/>
            <family val="2"/>
          </rPr>
          <t>Bruno Neto:</t>
        </r>
        <r>
          <rPr>
            <sz val="9"/>
            <color indexed="81"/>
            <rFont val="Tahoma"/>
            <family val="2"/>
          </rPr>
          <t xml:space="preserve">
Para cada intervalo de avaria.</t>
        </r>
      </text>
    </comment>
    <comment ref="M4" authorId="0">
      <text>
        <r>
          <rPr>
            <b/>
            <sz val="9"/>
            <color indexed="81"/>
            <rFont val="Tahoma"/>
            <charset val="1"/>
          </rPr>
          <t>Bruno Neto:</t>
        </r>
        <r>
          <rPr>
            <sz val="9"/>
            <color indexed="81"/>
            <rFont val="Tahoma"/>
            <charset val="1"/>
          </rPr>
          <t xml:space="preserve">
Lambda=Nº de falhas / Tempo de operação</t>
        </r>
      </text>
    </comment>
    <comment ref="N4" authorId="0">
      <text>
        <r>
          <rPr>
            <b/>
            <sz val="9"/>
            <color indexed="81"/>
            <rFont val="Tahoma"/>
            <family val="2"/>
          </rPr>
          <t>Bruno Neto:</t>
        </r>
        <r>
          <rPr>
            <sz val="9"/>
            <color indexed="81"/>
            <rFont val="Tahoma"/>
            <family val="2"/>
          </rPr>
          <t xml:space="preserve">
f(t)=Lambda*exp(-lambda*tempo)</t>
        </r>
      </text>
    </comment>
    <comment ref="O4" authorId="0">
      <text>
        <r>
          <rPr>
            <b/>
            <sz val="9"/>
            <color indexed="81"/>
            <rFont val="Tahoma"/>
            <family val="2"/>
          </rPr>
          <t>Bruno Neto:</t>
        </r>
        <r>
          <rPr>
            <sz val="9"/>
            <color indexed="81"/>
            <rFont val="Tahoma"/>
            <family val="2"/>
          </rPr>
          <t xml:space="preserve">
F(t)=1-exp(-lambda*tempo)
*Probabilidade de avariar até ao instante t*</t>
        </r>
      </text>
    </comment>
    <comment ref="P4" authorId="0">
      <text>
        <r>
          <rPr>
            <b/>
            <sz val="9"/>
            <color indexed="81"/>
            <rFont val="Tahoma"/>
            <family val="2"/>
          </rPr>
          <t>Bruno Neto:</t>
        </r>
        <r>
          <rPr>
            <sz val="9"/>
            <color indexed="81"/>
            <rFont val="Tahoma"/>
            <family val="2"/>
          </rPr>
          <t xml:space="preserve">
R(t)=exp(-lmbda*tempo)
*Probabilidade de sobreviver até ao instante t*</t>
        </r>
      </text>
    </comment>
  </commentList>
</comments>
</file>

<file path=xl/comments3.xml><?xml version="1.0" encoding="utf-8"?>
<comments xmlns="http://schemas.openxmlformats.org/spreadsheetml/2006/main">
  <authors>
    <author>Bruno Neto</author>
  </authors>
  <commentList>
    <comment ref="C5" authorId="0">
      <text>
        <r>
          <rPr>
            <b/>
            <sz val="9"/>
            <color indexed="81"/>
            <rFont val="Tahoma"/>
            <family val="2"/>
          </rPr>
          <t>Bruno Neto:</t>
        </r>
        <r>
          <rPr>
            <sz val="9"/>
            <color indexed="81"/>
            <rFont val="Tahoma"/>
            <family val="2"/>
          </rPr>
          <t xml:space="preserve">
[1-exp(-lambda*t)]</t>
        </r>
      </text>
    </comment>
    <comment ref="D5" authorId="0">
      <text>
        <r>
          <rPr>
            <b/>
            <sz val="9"/>
            <color indexed="81"/>
            <rFont val="Tahoma"/>
            <family val="2"/>
          </rPr>
          <t>Bruno Neto:</t>
        </r>
        <r>
          <rPr>
            <sz val="9"/>
            <color indexed="81"/>
            <rFont val="Tahoma"/>
            <family val="2"/>
          </rPr>
          <t xml:space="preserve">
[exp(-lambda*t)]</t>
        </r>
      </text>
    </comment>
  </commentList>
</comments>
</file>

<file path=xl/comments4.xml><?xml version="1.0" encoding="utf-8"?>
<comments xmlns="http://schemas.openxmlformats.org/spreadsheetml/2006/main">
  <authors>
    <author>Bruno Neto</author>
  </authors>
  <commentList>
    <comment ref="B2" authorId="0">
      <text>
        <r>
          <rPr>
            <b/>
            <sz val="9"/>
            <color indexed="81"/>
            <rFont val="Tahoma"/>
            <family val="2"/>
          </rPr>
          <t>Bruno Neto:</t>
        </r>
        <r>
          <rPr>
            <sz val="9"/>
            <color indexed="81"/>
            <rFont val="Tahoma"/>
            <family val="2"/>
          </rPr>
          <t xml:space="preserve">
Total de avarias em cada dia!</t>
        </r>
      </text>
    </comment>
    <comment ref="F2" authorId="0">
      <text>
        <r>
          <rPr>
            <b/>
            <sz val="9"/>
            <color indexed="81"/>
            <rFont val="Tahoma"/>
            <family val="2"/>
          </rPr>
          <t>Bruno Neto:</t>
        </r>
        <r>
          <rPr>
            <sz val="9"/>
            <color indexed="81"/>
            <rFont val="Tahoma"/>
            <family val="2"/>
          </rPr>
          <t xml:space="preserve">
Total de avarias em cada local para o mesmo dia.</t>
        </r>
      </text>
    </comment>
  </commentList>
</comments>
</file>

<file path=xl/comments5.xml><?xml version="1.0" encoding="utf-8"?>
<comments xmlns="http://schemas.openxmlformats.org/spreadsheetml/2006/main">
  <authors>
    <author>Bruno Neto</author>
  </authors>
  <commentList>
    <comment ref="B2" authorId="0">
      <text>
        <r>
          <rPr>
            <b/>
            <sz val="9"/>
            <color indexed="81"/>
            <rFont val="Tahoma"/>
            <family val="2"/>
          </rPr>
          <t>Bruno Neto:</t>
        </r>
        <r>
          <rPr>
            <sz val="9"/>
            <color indexed="81"/>
            <rFont val="Tahoma"/>
            <family val="2"/>
          </rPr>
          <t xml:space="preserve">
Total de avarias em cada local para o mesmo dia.</t>
        </r>
      </text>
    </comment>
    <comment ref="N4" authorId="0">
      <text>
        <r>
          <rPr>
            <b/>
            <sz val="9"/>
            <color indexed="81"/>
            <rFont val="Tahoma"/>
            <charset val="1"/>
          </rPr>
          <t>Bruno Neto:</t>
        </r>
        <r>
          <rPr>
            <sz val="9"/>
            <color indexed="81"/>
            <rFont val="Tahoma"/>
            <charset val="1"/>
          </rPr>
          <t xml:space="preserve">
Lambda=Nº de falhas / Tempo de operação</t>
        </r>
      </text>
    </comment>
    <comment ref="O4" authorId="0">
      <text>
        <r>
          <rPr>
            <b/>
            <sz val="9"/>
            <color indexed="81"/>
            <rFont val="Tahoma"/>
            <family val="2"/>
          </rPr>
          <t>Bruno Neto:</t>
        </r>
        <r>
          <rPr>
            <sz val="9"/>
            <color indexed="81"/>
            <rFont val="Tahoma"/>
            <family val="2"/>
          </rPr>
          <t xml:space="preserve">
f(t)=Lambda*exp(-lambda*tempo)</t>
        </r>
      </text>
    </comment>
    <comment ref="P4" authorId="0">
      <text>
        <r>
          <rPr>
            <b/>
            <sz val="9"/>
            <color indexed="81"/>
            <rFont val="Tahoma"/>
            <family val="2"/>
          </rPr>
          <t>Bruno Neto:</t>
        </r>
        <r>
          <rPr>
            <sz val="9"/>
            <color indexed="81"/>
            <rFont val="Tahoma"/>
            <family val="2"/>
          </rPr>
          <t xml:space="preserve">
F(t)=1-exp(-lambda*tempo)
*Probabilidade de avariar até ao instante t*</t>
        </r>
      </text>
    </comment>
    <comment ref="Q4" authorId="0">
      <text>
        <r>
          <rPr>
            <b/>
            <sz val="9"/>
            <color indexed="81"/>
            <rFont val="Tahoma"/>
            <family val="2"/>
          </rPr>
          <t>Bruno Neto:</t>
        </r>
        <r>
          <rPr>
            <sz val="9"/>
            <color indexed="81"/>
            <rFont val="Tahoma"/>
            <family val="2"/>
          </rPr>
          <t xml:space="preserve">
R(t)=exp(-lmbda*tempo)
*Probabilidade de sobreviver até ao instante t*</t>
        </r>
      </text>
    </comment>
    <comment ref="AD4" authorId="0">
      <text>
        <r>
          <rPr>
            <b/>
            <sz val="9"/>
            <color indexed="81"/>
            <rFont val="Tahoma"/>
            <charset val="1"/>
          </rPr>
          <t>Bruno Neto:</t>
        </r>
        <r>
          <rPr>
            <sz val="9"/>
            <color indexed="81"/>
            <rFont val="Tahoma"/>
            <charset val="1"/>
          </rPr>
          <t xml:space="preserve">
Lambda=Nº de falhas / Tempo de operação</t>
        </r>
      </text>
    </comment>
    <comment ref="AE4" authorId="0">
      <text>
        <r>
          <rPr>
            <b/>
            <sz val="9"/>
            <color indexed="81"/>
            <rFont val="Tahoma"/>
            <family val="2"/>
          </rPr>
          <t>Bruno Neto:</t>
        </r>
        <r>
          <rPr>
            <sz val="9"/>
            <color indexed="81"/>
            <rFont val="Tahoma"/>
            <family val="2"/>
          </rPr>
          <t xml:space="preserve">
f(t)=Lambda*exp(-lambda*tempo)</t>
        </r>
      </text>
    </comment>
    <comment ref="AF4" authorId="0">
      <text>
        <r>
          <rPr>
            <b/>
            <sz val="9"/>
            <color indexed="81"/>
            <rFont val="Tahoma"/>
            <family val="2"/>
          </rPr>
          <t>Bruno Neto:</t>
        </r>
        <r>
          <rPr>
            <sz val="9"/>
            <color indexed="81"/>
            <rFont val="Tahoma"/>
            <family val="2"/>
          </rPr>
          <t xml:space="preserve">
F(t)=1-exp(-lambda*tempo)
*Probabilidade de avariar até ao instante t*</t>
        </r>
      </text>
    </comment>
    <comment ref="AG4" authorId="0">
      <text>
        <r>
          <rPr>
            <b/>
            <sz val="9"/>
            <color indexed="81"/>
            <rFont val="Tahoma"/>
            <family val="2"/>
          </rPr>
          <t>Bruno Neto:</t>
        </r>
        <r>
          <rPr>
            <sz val="9"/>
            <color indexed="81"/>
            <rFont val="Tahoma"/>
            <family val="2"/>
          </rPr>
          <t xml:space="preserve">
R(t)=exp(-lmbda*tempo)
*Probabilidade de sobreviver até ao instante t*</t>
        </r>
      </text>
    </comment>
  </commentList>
</comments>
</file>

<file path=xl/comments6.xml><?xml version="1.0" encoding="utf-8"?>
<comments xmlns="http://schemas.openxmlformats.org/spreadsheetml/2006/main">
  <authors>
    <author>Bruno Neto</author>
  </authors>
  <commentList>
    <comment ref="C5" authorId="0">
      <text>
        <r>
          <rPr>
            <b/>
            <sz val="9"/>
            <color indexed="81"/>
            <rFont val="Tahoma"/>
            <family val="2"/>
          </rPr>
          <t>Bruno Neto:</t>
        </r>
        <r>
          <rPr>
            <sz val="9"/>
            <color indexed="81"/>
            <rFont val="Tahoma"/>
            <family val="2"/>
          </rPr>
          <t xml:space="preserve">
[1-exp(-lambda*t)]</t>
        </r>
      </text>
    </comment>
    <comment ref="D5" authorId="0">
      <text>
        <r>
          <rPr>
            <b/>
            <sz val="9"/>
            <color indexed="81"/>
            <rFont val="Tahoma"/>
            <family val="2"/>
          </rPr>
          <t>Bruno Neto:</t>
        </r>
        <r>
          <rPr>
            <sz val="9"/>
            <color indexed="81"/>
            <rFont val="Tahoma"/>
            <family val="2"/>
          </rPr>
          <t xml:space="preserve">
[exp(-lambda*t)]</t>
        </r>
      </text>
    </comment>
  </commentList>
</comments>
</file>

<file path=xl/comments7.xml><?xml version="1.0" encoding="utf-8"?>
<comments xmlns="http://schemas.openxmlformats.org/spreadsheetml/2006/main">
  <authors>
    <author>Bruno Neto</author>
  </authors>
  <commentList>
    <comment ref="B2" authorId="0">
      <text>
        <r>
          <rPr>
            <b/>
            <sz val="9"/>
            <color indexed="81"/>
            <rFont val="Tahoma"/>
            <family val="2"/>
          </rPr>
          <t>Bruno Neto:</t>
        </r>
        <r>
          <rPr>
            <sz val="9"/>
            <color indexed="81"/>
            <rFont val="Tahoma"/>
            <family val="2"/>
          </rPr>
          <t xml:space="preserve">
Total de avarias em cada dia!</t>
        </r>
      </text>
    </comment>
    <comment ref="F2" authorId="0">
      <text>
        <r>
          <rPr>
            <b/>
            <sz val="9"/>
            <color indexed="81"/>
            <rFont val="Tahoma"/>
            <family val="2"/>
          </rPr>
          <t>Bruno Neto:</t>
        </r>
        <r>
          <rPr>
            <sz val="9"/>
            <color indexed="81"/>
            <rFont val="Tahoma"/>
            <family val="2"/>
          </rPr>
          <t xml:space="preserve">
Total de avarias em cada local para o mesmo dia.</t>
        </r>
      </text>
    </comment>
  </commentList>
</comments>
</file>

<file path=xl/comments8.xml><?xml version="1.0" encoding="utf-8"?>
<comments xmlns="http://schemas.openxmlformats.org/spreadsheetml/2006/main">
  <authors>
    <author>Bruno Neto</author>
  </authors>
  <commentList>
    <comment ref="B2" authorId="0">
      <text>
        <r>
          <rPr>
            <b/>
            <sz val="9"/>
            <color indexed="81"/>
            <rFont val="Tahoma"/>
            <family val="2"/>
          </rPr>
          <t>Bruno Neto:</t>
        </r>
        <r>
          <rPr>
            <sz val="9"/>
            <color indexed="81"/>
            <rFont val="Tahoma"/>
            <family val="2"/>
          </rPr>
          <t xml:space="preserve">
Total de avarias em cada local para o mesmo dia.</t>
        </r>
      </text>
    </comment>
    <comment ref="N4" authorId="0">
      <text>
        <r>
          <rPr>
            <b/>
            <sz val="9"/>
            <color indexed="81"/>
            <rFont val="Tahoma"/>
            <charset val="1"/>
          </rPr>
          <t>Bruno Neto:</t>
        </r>
        <r>
          <rPr>
            <sz val="9"/>
            <color indexed="81"/>
            <rFont val="Tahoma"/>
            <charset val="1"/>
          </rPr>
          <t xml:space="preserve">
Lambda=Nº de falhas / Tempo de operação</t>
        </r>
      </text>
    </comment>
    <comment ref="O4" authorId="0">
      <text>
        <r>
          <rPr>
            <b/>
            <sz val="9"/>
            <color indexed="81"/>
            <rFont val="Tahoma"/>
            <family val="2"/>
          </rPr>
          <t>Bruno Neto:</t>
        </r>
        <r>
          <rPr>
            <sz val="9"/>
            <color indexed="81"/>
            <rFont val="Tahoma"/>
            <family val="2"/>
          </rPr>
          <t xml:space="preserve">
f(t)=Lambda*exp(-lambda*tempo)</t>
        </r>
      </text>
    </comment>
    <comment ref="P4" authorId="0">
      <text>
        <r>
          <rPr>
            <b/>
            <sz val="9"/>
            <color indexed="81"/>
            <rFont val="Tahoma"/>
            <family val="2"/>
          </rPr>
          <t>Bruno Neto:</t>
        </r>
        <r>
          <rPr>
            <sz val="9"/>
            <color indexed="81"/>
            <rFont val="Tahoma"/>
            <family val="2"/>
          </rPr>
          <t xml:space="preserve">
F(t)=1-exp(-lambda*tempo)
*Probabilidade de avariar até ao instante t*</t>
        </r>
      </text>
    </comment>
    <comment ref="Q4" authorId="0">
      <text>
        <r>
          <rPr>
            <b/>
            <sz val="9"/>
            <color indexed="81"/>
            <rFont val="Tahoma"/>
            <family val="2"/>
          </rPr>
          <t>Bruno Neto:</t>
        </r>
        <r>
          <rPr>
            <sz val="9"/>
            <color indexed="81"/>
            <rFont val="Tahoma"/>
            <family val="2"/>
          </rPr>
          <t xml:space="preserve">
R(t)=exp(-lmbda*tempo)
*Probabilidade de sobreviver até ao instante t*</t>
        </r>
      </text>
    </comment>
    <comment ref="AD4" authorId="0">
      <text>
        <r>
          <rPr>
            <b/>
            <sz val="9"/>
            <color indexed="81"/>
            <rFont val="Tahoma"/>
            <charset val="1"/>
          </rPr>
          <t>Bruno Neto:</t>
        </r>
        <r>
          <rPr>
            <sz val="9"/>
            <color indexed="81"/>
            <rFont val="Tahoma"/>
            <charset val="1"/>
          </rPr>
          <t xml:space="preserve">
Lambda=Nº de falhas / Tempo de operação</t>
        </r>
      </text>
    </comment>
    <comment ref="AE4" authorId="0">
      <text>
        <r>
          <rPr>
            <b/>
            <sz val="9"/>
            <color indexed="81"/>
            <rFont val="Tahoma"/>
            <family val="2"/>
          </rPr>
          <t>Bruno Neto:</t>
        </r>
        <r>
          <rPr>
            <sz val="9"/>
            <color indexed="81"/>
            <rFont val="Tahoma"/>
            <family val="2"/>
          </rPr>
          <t xml:space="preserve">
f(t)=Lambda*exp(-lambda*tempo)</t>
        </r>
      </text>
    </comment>
    <comment ref="AF4" authorId="0">
      <text>
        <r>
          <rPr>
            <b/>
            <sz val="9"/>
            <color indexed="81"/>
            <rFont val="Tahoma"/>
            <family val="2"/>
          </rPr>
          <t>Bruno Neto:</t>
        </r>
        <r>
          <rPr>
            <sz val="9"/>
            <color indexed="81"/>
            <rFont val="Tahoma"/>
            <family val="2"/>
          </rPr>
          <t xml:space="preserve">
F(t)=1-exp(-lambda*tempo)
*Probabilidade de avariar até ao instante t*</t>
        </r>
      </text>
    </comment>
    <comment ref="AG4" authorId="0">
      <text>
        <r>
          <rPr>
            <b/>
            <sz val="9"/>
            <color indexed="81"/>
            <rFont val="Tahoma"/>
            <family val="2"/>
          </rPr>
          <t>Bruno Neto:</t>
        </r>
        <r>
          <rPr>
            <sz val="9"/>
            <color indexed="81"/>
            <rFont val="Tahoma"/>
            <family val="2"/>
          </rPr>
          <t xml:space="preserve">
R(t)=exp(-lmbda*tempo)
*Probabilidade de sobreviver até ao instante t*</t>
        </r>
      </text>
    </comment>
  </commentList>
</comments>
</file>

<file path=xl/comments9.xml><?xml version="1.0" encoding="utf-8"?>
<comments xmlns="http://schemas.openxmlformats.org/spreadsheetml/2006/main">
  <authors>
    <author>Bruno Neto</author>
  </authors>
  <commentList>
    <comment ref="C5" authorId="0">
      <text>
        <r>
          <rPr>
            <b/>
            <sz val="9"/>
            <color indexed="81"/>
            <rFont val="Tahoma"/>
            <family val="2"/>
          </rPr>
          <t>Bruno Neto:</t>
        </r>
        <r>
          <rPr>
            <sz val="9"/>
            <color indexed="81"/>
            <rFont val="Tahoma"/>
            <family val="2"/>
          </rPr>
          <t xml:space="preserve">
[1-exp(-lambda*t)]</t>
        </r>
      </text>
    </comment>
    <comment ref="D5" authorId="0">
      <text>
        <r>
          <rPr>
            <b/>
            <sz val="9"/>
            <color indexed="81"/>
            <rFont val="Tahoma"/>
            <family val="2"/>
          </rPr>
          <t>Bruno Neto:</t>
        </r>
        <r>
          <rPr>
            <sz val="9"/>
            <color indexed="81"/>
            <rFont val="Tahoma"/>
            <family val="2"/>
          </rPr>
          <t xml:space="preserve">
[exp(-lambda*t)]</t>
        </r>
      </text>
    </comment>
  </commentList>
</comments>
</file>

<file path=xl/sharedStrings.xml><?xml version="1.0" encoding="utf-8"?>
<sst xmlns="http://schemas.openxmlformats.org/spreadsheetml/2006/main" count="5633" uniqueCount="419">
  <si>
    <t>Local</t>
  </si>
  <si>
    <t>Motivo</t>
  </si>
  <si>
    <t>Zona</t>
  </si>
  <si>
    <t>Serpentina de vidro de unidade de refrigeração de gases quebrada no interior. Originava que a condensação ficasse acumulada sem ser extraída para a rua.</t>
  </si>
  <si>
    <t>Fuga em electroválvula que implicava uma medida incorrecta do gás recolhido da conduta.</t>
  </si>
  <si>
    <t>Data</t>
  </si>
  <si>
    <t>Chaminé</t>
  </si>
  <si>
    <t>LED emissor necessitou de ser ajudado (ajuste electrónico)</t>
  </si>
  <si>
    <t>Analisador com sinal de alarme devido a falta de ar comprimido (Foi fechada uma válvula indevidamente)</t>
  </si>
  <si>
    <t>Substituição de um conjunto de baterias pertencente à UPS existente no local.</t>
  </si>
  <si>
    <t>Medidor de particulas com erros aleatórios durante auto calibração. Valores com imensas variações. Foi substituído por unidade de reserva.</t>
  </si>
  <si>
    <t>Bomba peristáltica usada para remover condensações nas tubagens com cassete (cinta de aperto) partida devido a obstrução em válvula de regulação de caudal de gás o que implicou que o circuito tivesse ficado com pressão excessiva.</t>
  </si>
  <si>
    <t>Retirado medidor de partículas devido a um dos obturadores que se movimenta durante as auto calibrações ter ficado preso, influenciando a medida. Problema num dos micro interruptores que por vezes não se fazia. Foi substituído.</t>
  </si>
  <si>
    <t>Medidor de partículas de PM10 com sinal de alarme devido a encravamento de bomba de aspiração (bomba de palhetas de carvão. Uma delas quebrou e originou o encravamento).</t>
  </si>
  <si>
    <t>Medidor de partículas de PM2,5 com erro de caudal provocado por avaria na válvula reguladora de caudal. Válvula mecânicamente a funcionar. Motor de 24V em curto circuito. Foi substituída.</t>
  </si>
  <si>
    <t>Célula de medida de um dos analisadores (SO2) com condensação no interior. Teve que ser desmontada, limpa e o Analisador calibrado com gás certificado.</t>
  </si>
  <si>
    <t>Medidor de partículas com erro no display devido a desajuste no potenciómetro do sensor de caudal de ar de protecção às lentes. Erro de Shutter (Cortina de protecção que fecha no caso de avaria no ventilador, falta de ar ou falha de tensão eléctrica).</t>
  </si>
  <si>
    <t>Medidor de partículas sem iniciar, bloqueado no arranque. Teve que ser enviado para reparação no fabricante. Avaria em carta electrónica.</t>
  </si>
  <si>
    <t>Medidor de partículas de PM10 com alarme ocasional de caudal. Válvula reguladora com funcionamento irregular. Por vezes não conseguia posicionar na posição correcta e originava a falha de caudal.</t>
  </si>
  <si>
    <t>Medidor de partículas de PM10 com alarme de caudal. Bomba de amostragem danificada devido a condensador (4uF) esgotado. Foi trocado por um novo.</t>
  </si>
  <si>
    <t>Sinal de "avaria de equipamento" na Supervisão causado por um relé defeituoso com contactos isolados.</t>
  </si>
  <si>
    <t>Analisador de gases com indicação de avaria devido a falta de caudal de ar. Avaria provocada por excesso de água no circuito de ar comprimido.</t>
  </si>
  <si>
    <t>Bomba peristáltica usada para remover condensações nas tubagens danificada. Bomba composta por um motor de 220V com uma caixa redutora com carretos no interior. Carretos com bastante desgaste.</t>
  </si>
  <si>
    <t>Electroválvula de bloqueio de ar comprimido danificada, com passagem para o circuito de gás de recolha para o Analisador. Foi substituída. Autómato com erros em algumas cartas de input. Foram substituídas as cartas de input assim como o processador.</t>
  </si>
  <si>
    <t>Ventilador de ar de limpeza das lentes do medidor de partículas com temperatura elevada e ruído anormal. Rolamento com desgaste. Teve que ser substituído.</t>
  </si>
  <si>
    <t>Analisador de gases (CO, NO e SO2) com água no interior. As células onde passa o gás para ser medido tiveram que ser retiradas pra limpeza e secagem. Depois disso foi necessário calibrar o equipamento com gás certificado. Foi também necessário ajustar o feixe óptico.</t>
  </si>
  <si>
    <t>Refrigerador de secagem do gás com temperatura de -33º. Normal seria de 3º. Foi substituído e mais tarde reparado (Avaria num relé de estado sólido).</t>
  </si>
  <si>
    <t>Medidor de particulas sem iniciar, bloqueado no arranque. Teve que ser enviado para reparação para o representante da marca em Portugal.</t>
  </si>
  <si>
    <t>Medidor de particulas em erro de caudal baixo. A bomba de amostragem encontrava-se com um dos rolamentos com desgaste. Foi também verificado o valor da fonte radioactiva (Sensor Geiger Muller).</t>
  </si>
  <si>
    <t>Analisador de SO2 com lâmpada Ultravioleta no limite de funcionamento (esgotada).</t>
  </si>
  <si>
    <t>Bomba de amostragem com um dos rolamentos gripados.</t>
  </si>
  <si>
    <t>Analisador de gases a reagir muito lentamente à medida de Oxigénio. Todos os outros valores a reagir bem. O sensor de oxigénio estava obstruído com algum lixo acumulado.</t>
  </si>
  <si>
    <t>Medidor de Partículas PM10 com circuito integrado na motherboard queimado. Queimou porque ou houve um curto circuito na válvula que regula o caudal (O mais provável) ou por a válvula ter entrado em esforço com consumo maior de corrente eléctrica (Nominal da válvula de 80 mA, integrado com máximo admissível de 300 mA). Depois desta anomalia, em todos os analisadores de partículas iguais a este, foram colocados fusíveis de protecção de forma a que quando ocorresse um curto circuito este ficasse restrito ao fusível e não a um circuito integrado.</t>
  </si>
  <si>
    <t>Medidor de partículas PM10 em alarme devido a encravamento de fita.</t>
  </si>
  <si>
    <t>Medidor de partículas PM10 em alarme devido a esgotamento de fita de amostragem (anomalia comum). Substitui-se e quando se colocou em serviço a bomba de amostragem encravou logo no arranque. Rolamento gripado.</t>
  </si>
  <si>
    <t>Analisador de gases com SO2 a marcar 0 mg/m^3. Testado com garrafa de gás em que foi injectado gás em diferentes pontos do circuito de gás. Quando era injectado na entrada do analisador, reagia bem. Quando injectado no inicio do circuito, SO2 não reagia. A humidade no frigorifico estava a absorver o SO2 e falseava os valores medidos. Depois do frigorifico lavado e seco, ficou tudo OK.</t>
  </si>
  <si>
    <t>Analisador de SO2 com temperatura em erro. Foram substituídos os detectores de temperatura, e cabos de comunicação. Problema era da EPROM que contém o software para aquele analisador (corrompida).</t>
  </si>
  <si>
    <t>Falta de caudal de gás no circuito. Bombas de amostragem com funcionamento irregular. Foram substituídas as membranas de vácuo no interior das bombas.</t>
  </si>
  <si>
    <t>Valores elevados e irregulares medidos pelo medidor de partículas. Chaminé no interior com corrosão e com bastantes detritos que devido ao fluxo de ar eram expelidos para a atmosfera.</t>
  </si>
  <si>
    <t>Moinho com paragens devido a anomalia no relé indicador de caudal de gás. Sem caudal o moínho pára. Substituição por unidade nova.</t>
  </si>
  <si>
    <t>Lâmpada UV do Analisador de SO2 com valores baixos de sensibilidade. Ajuste electrónico dos detectores.</t>
  </si>
  <si>
    <t>Saídas analógicas 4-20mA apenas com uma em funcionamento. Não havia sinal numa delas devido a mau contacto no cabo de sinal que partiu devido à vibração naquela zona.</t>
  </si>
  <si>
    <t>Pressão da garrafa de Hidrogénio a cair cerca de 10 bar por dia (normal de 2~3 bar). Refeitas todas as ligações metálicas do circuito.</t>
  </si>
  <si>
    <t>Fuga de Hidrogénio encontrada. Electroválvula de regulação de pressão com fuga no interior do Analisador. Perigo de explosão. Substituição da electroválvula para uma nova.</t>
  </si>
  <si>
    <t>Sonda de gases refrigerada a água que entra dentro do forno rompeu por desgaste (erosão). Fuga de água para o exterior que provocava "agarramentos" de material (farinha) do forno em redor do orificio de aspiração e falseavam os valores. Foi substituída.</t>
  </si>
  <si>
    <t>Substituição do tubo capilar do antigo FTIR para o sensor que mede Oxigénio devido a cristalização de gás no interior e consequente obstrução. A cristalização deu-se sempre na zona de transição entre o "forno" do analisador (180º) e o armário eléctrico devido à variação brusca de temperatura.</t>
  </si>
  <si>
    <t>Medidor de partículas PM2.5 em alarme devido a encravamento na bomba de amostragem. Rolamento preso.</t>
  </si>
  <si>
    <t>Modificação de sistema. Alteração da posição do canhão de ar de limpeza e alteração de toda a tubagem de teflon para INOX. Montagem da tubagem de ar comprimido e electroválvula de comando de disparo do canhão de ar.</t>
  </si>
  <si>
    <t>Analisador (antigo) de COT's em erro após corte de tensão. Erro motivado por chama apagada. Aceitação manual de erros e ajuste da pressão do gás de combustão.</t>
  </si>
  <si>
    <t>Opacimetro em erro. No display "----" a piscar. Quando era reiniciado era corrido o ciclo de auto calibração/verificação (normal) e quando ficava em modo de medida é que apresentava essa indicação a piscar. Foram seguidos os procedimentos de verificação do fabricante sem sucesso. Mais tarde foi detectado um integrado da placa principal estalado. Foi substituído e ficou OK.</t>
  </si>
  <si>
    <t>Medidas de CO e O2 com oscilações anormais. O tubo de recolha de gás que se encontra dentro do ciclone estava desgastado (faltavam cerca de 30 cm ao tubo). Foi substituído por um novo. Foi necessário ajustar no autómato os tempos de purga e recolha de gás de amostra de forma a evitar oscilações nos valores medidos entre a purga e a medição.</t>
  </si>
  <si>
    <t>Refrigerador com temperatura de -6º. Electroválvula de refrigeração não fechava completamente e o gás de refrigeração estava sempre a circular. Teve que ser substituído e reparada a electroválvula (colocada nova).</t>
  </si>
  <si>
    <r>
      <t>Refrigerador com temperatura bastante instável e bastante ruído na electroválvula de corte de gás de refrigeração. Electroválvula a ser alimentada apenas a 130 V quando deveria estar a ser alimentada a 230 V. Avaria no regulador de tensão. Substituição da placa e mais tarde substituição do rectificador. (</t>
    </r>
    <r>
      <rPr>
        <b/>
        <sz val="11"/>
        <color theme="1"/>
        <rFont val="Calibri"/>
        <family val="2"/>
        <scheme val="minor"/>
      </rPr>
      <t xml:space="preserve">Nota: </t>
    </r>
    <r>
      <rPr>
        <sz val="11"/>
        <color theme="1"/>
        <rFont val="Calibri"/>
        <family val="2"/>
        <scheme val="minor"/>
      </rPr>
      <t>Confirmar esta avaria. Creio que foi o relé de estado sólido e não o rectificador).</t>
    </r>
  </si>
  <si>
    <t>Medidor de partículas PM2.5 em alarme de caudal. Alarme não real. O bit de alarme estava a "1" quando deveria estar a "0". Foi necessário reiniciar a máquina.</t>
  </si>
  <si>
    <t>Analisador de CO, NO e O2 em erro. Nenhum dos componentes de medição era reconhecido e as saídas analógicas a 0 mA. Módulo CPU em erro. Avaria no módulo que contém a programação do Analisador. Substituída a placa.</t>
  </si>
  <si>
    <t>Opacimetro em erro mas sem acesso ao menu do mesmo e sem qualquer reacção. Feixe laser apagado. EPROM danificada. Foi substituída e ficou a funcionar correctamente.</t>
  </si>
  <si>
    <t>Medida de SO2 a marcar valores a rondar 0 mg. Detector da medida de SO2 com baixa sensibilidade: A reacção ao gás era nula. Detector esgotado. Foi substituído por um novo no qual o comportamento foi totalmente diferente.</t>
  </si>
  <si>
    <t>Inicio da desmontagem do analisador de gases para substituição por unidade nova.</t>
  </si>
  <si>
    <t>Desmantelamento do Analisador de forma a aliviar peso e ser transportado.</t>
  </si>
  <si>
    <t>Medidor de partículas PM10 em alarme de caudal. Bomba de amostragem com condensador de arranque esgotado. Foi substituído.</t>
  </si>
  <si>
    <t>Retirada linha aquecida antiga e substituída por uma nova. Linha de 10 metros.</t>
  </si>
  <si>
    <t>Ensaio de sinais analógicos e digitais entre Analisador de Gases e Sala Eléctrica. Injecção de sinal 4-20 mA em cada medida e confirmação na sala eléctrica do valor. Ensaio com Automação dos sinais de avaria, manutenção e medidas.</t>
  </si>
  <si>
    <t>Startup do novo Analisador. Reconfiguração das escalas de medição (a pedido do cliente) e inicio da calibração do equipamento com gases e liquidos certificados.</t>
  </si>
  <si>
    <t>Analisador com falhas pontuais de caudal. Água misturada no circuito de ar comprimido.</t>
  </si>
  <si>
    <t>Opacimetro com erro de contaminação (lentes sujas). Bastante oscilação nas medidas. Mais tarde verificou-se que a lâmpada estava com uma intensidade demasiado baixa (abaixo do recomendado pelo fabricante). Substituída a lâmpada.</t>
  </si>
  <si>
    <t>Autómato desligado. Fusível do quadro eléctrico queimado. Electroválvula em curto circuito.</t>
  </si>
  <si>
    <t>Opacimetro com erro de contaminação (lentes sujas). Assim que terminava o ciclo incial de verificação acusava alarme e reiniciava o ciclo. Não foi possível resolver a avaria. Opacimetro enviado para o seu representante em Portugal.</t>
  </si>
  <si>
    <t>Analisador de SO2 com condensação no interior. Sonda de gases com água a 55º e linha aquecidada de transporte da amostra com temperatura demasiado baixa. Formou-se condensação em várias partes do circuito de amostra assim como dentro do Analisador.</t>
  </si>
  <si>
    <t>Tubo de ar limpo do exterior para protecção das lentes do Opacimetro com rasgão e 20 cm. Tubo resiquido. Opacimetro com bastante lixo no interior. Teve que ser retirado para limpeza e substituído o tubo.</t>
  </si>
  <si>
    <t>Bastantes oscilações nas medidas dos Analisadores. Bomba de amostragem danificada e bomba de purga com fraco rendimento. Uma das válvulas de bloqueio de ar comprimido encontrava-se com fuga o que originou que o circuito de recolha ficasse ocasionalmente em pressão, danificando as bombas de amostragem e purga.</t>
  </si>
  <si>
    <t>Célula de medição de NO com sujidade no interior sem motivo aparente. Foi lavada. Analisador calibrado com gás certificado.</t>
  </si>
  <si>
    <t>Medição de NO com valores irreais. Célula danificada no interior. Teve que ser substituída.</t>
  </si>
  <si>
    <t>Pré-Calcinação</t>
  </si>
  <si>
    <t>Funcionamento irregular das electroválvulas e bomba de amostragem. Verificada programação no Autómato. Identificação de cablagens de sinais e alimentações de válvulas. Foram detectados cabos cortados.</t>
  </si>
  <si>
    <t>Analisador em erro devido a entupimento do injector do Analisador de COT's. Foi desmontado e limpo. Calibração da medida com gás certificado.</t>
  </si>
  <si>
    <t>Analisado com carta de saídas analógicas em erro. Avaria na carta.</t>
  </si>
  <si>
    <t>Analisador com enormes variações na temperatura interior. Sonda PT100 com mau contacto.</t>
  </si>
  <si>
    <t>Medidor de partículas PM10 em alarme de caudal. Bomba de amostragem com enrolamentos queimados.</t>
  </si>
  <si>
    <t>Sonda de gases com fuga de água para o exterior. Foi substituída.</t>
  </si>
  <si>
    <t>Autómato desligado devido a curto circuito em electroválvula. Queimou fusível geral.</t>
  </si>
  <si>
    <t>Valores medidos de O2 acima do normal com Forno em normal funcionamento. Verificação de toda a tubagem de transporte da amostra. Detectada pequena fissura numa união entre dois tubos devido a se encontrar resiquida em zona de temperatura elevada.</t>
  </si>
  <si>
    <t>Opacimetro em erro, com valores elevados de sujidade nas lentes. Foram limpas.</t>
  </si>
  <si>
    <t>Sem informação de valores de partículas na Supervisão. Polaridade do sinal de saída analógica trocada.</t>
  </si>
  <si>
    <t>Relé de caudal danificado. Originou alarme de falta de caudal de gás para o Analisador tendo parado o moinho.</t>
  </si>
  <si>
    <t>Opacimetro em erro na supervisão. Na consola tudo OK. Problema com relé interno da unidade de controlo com contacto isolado.</t>
  </si>
  <si>
    <t>Opacimetro em alarme com erro de contaminação elevada e defeito de comparação de luz emissora. Retirado equipamento e substituído motor modulador de luz.</t>
  </si>
  <si>
    <t>Medidor de partículas PM10 em alarme de caudal. Sensor de caudal danificado. Foi substituído.</t>
  </si>
  <si>
    <t>Opacimetro com valores elevados de sujidade. Espelho reflector com alguns riscos que alteravam os valores de contaminação. Foi substituído.</t>
  </si>
  <si>
    <t>Opacimetro em alarme com erro de contaminação devido a lentes sujas.</t>
  </si>
  <si>
    <t>Analisadores sem protecção de condensação no circuito. Foi montado um relé detector de condensados. Tudo testado.</t>
  </si>
  <si>
    <t>Opacimetro em alarme com erro de contaminação supostamente devido a lentes sujas. Alarme não real. Luz emissora com radiação mais baixa que o normal. Foi substituída.</t>
  </si>
  <si>
    <t>Valores medidos de O2 acima do normal com Forno em normal funcionamento. Tubo de sopragem automática da sonda despipado. Estava a aspirar ar ambiente. Colocada união no tubo.</t>
  </si>
  <si>
    <t>Valores de O2 muito baixos. Cabo de sinal analógico do O2 com polaridade trocada. Foi invertida e ficou OK.</t>
  </si>
  <si>
    <t>Relé de caudal danificado. Foi substituído por uma unidade nova.</t>
  </si>
  <si>
    <t>Substituída mola no roleto da bomba peristáltica de remoção de condensados.</t>
  </si>
  <si>
    <t>Sensor de O2 em fim de vida (valores caíram abruptamente). Foi substituído.</t>
  </si>
  <si>
    <t>Sonda de gases a entupir com frequência. Foi alterada a posição do buraco de aspiração no interior do forno. A sonda rodou 90º para a posição contrária ao fluxo de material.</t>
  </si>
  <si>
    <t>Substituição de electroválvula de entrada de gás no sistema devido a fuga. Entrada de ar falso.</t>
  </si>
  <si>
    <t>Analisador de SO2 em erro de temperatura. Fusível térmico de protecção da lâmpada emissora queimado. Foi substituído.</t>
  </si>
  <si>
    <t>Ventilador do Opacimetro queimado. Placa electrónica com curto circuito.</t>
  </si>
  <si>
    <t>Tubo capilar do FTIR com obstrução. Caudal de sensor de O2 com grandes oscilações. Substituição do tubo.</t>
  </si>
  <si>
    <t>Electroválvula danificada. Sem manobrar. Membrana danificada.</t>
  </si>
  <si>
    <t>Sonda de gases entupida. Falha de ar comprimido na tubagem. A limpeza automática estava desligada.</t>
  </si>
  <si>
    <t>Fugas diversas nos acessórios de latão das electroválvulas de sopragem automática. Substituição de acessórios e tubos por "novos".</t>
  </si>
  <si>
    <t>Electroválvula danificada. Bobine queimada.</t>
  </si>
  <si>
    <t>Válvula de entrada de gás obstruida com lixo. Foi limpa.</t>
  </si>
  <si>
    <t>Analisador de COT's em erro devido a desvio na auto calibração. Foi calibrado o Analisador com gás.</t>
  </si>
  <si>
    <t>Baterias da UPS em fim de vida. Quando a UPS faz um "check cycle" automático, os analisadores desligam devido às baterias danificadas.</t>
  </si>
  <si>
    <t>Limpeza do sensor de caudal do analisador de PM10 devido a oscilações na medida de caudal.</t>
  </si>
  <si>
    <t>Analisador de PM2.5 com a fita desfeita na cabeça de medida do analisador.</t>
  </si>
  <si>
    <t>Analisador de PM2.5 com a fita encravada na cabeça de amostragem. Ajustado o movimento da cabeça de amostragem.</t>
  </si>
  <si>
    <t>Sistema fora de serviço. Encravamento de ciclone e derrame de farinha em cima da tubagem e cabos eléctricos.</t>
  </si>
  <si>
    <t>Medidor de caudal com sinal de avaria na Supervisão. No local tudo OK. Erro devido a actualização de SW no PC das emissões.</t>
  </si>
  <si>
    <t>Analisador de SO2 com fonte de alimentação avariada.</t>
  </si>
  <si>
    <t>Fonte de alimentação avariada.</t>
  </si>
  <si>
    <t>Analisador em erro devido a curto circuito no motor da couvette de calibração.</t>
  </si>
  <si>
    <t>Bomba de amostragem com vestígios de água no interior (ácido). Desfez a membrana da bomba. Substituição da membrana.</t>
  </si>
  <si>
    <t>Opacimetro com tubo de ar de limpeza despipado da falange. Bastante condensação nas lentes e no interior do equipamento.</t>
  </si>
  <si>
    <t>Analisador de partículas som sinal de avaria com indicação no display de "TEST". Equipamento retirado fora de serviço para ser enviado para o representante em Portugal.</t>
  </si>
  <si>
    <t>UPS com idicação de alarme das baterias (baterias a necessitar substituição). Quando fez auto teste a UPS foi abaixo e Analisador ficou em erro devido a se ter desligado.</t>
  </si>
  <si>
    <t>Defeito na electroválvula de purga de condensação do depósito de ar da instalação. Substituída.</t>
  </si>
  <si>
    <t>Analisador em defeito geral. Perda de programação do cartão de memória. Reinstalação do software de base e configuração de todos os módulos do Analisador.</t>
  </si>
  <si>
    <t>Substituição da sonda de gases. A sonda nova veio com ligações trocadas e circulava água pelo circuito de gás. Limpeza e secagem de todo o circuito de recolha de amostra. Substituição da sonda por outra nova.</t>
  </si>
  <si>
    <t>Sonda de gases com nova fissura. Mais uma vez água no circuito de amostra. Analisador de SO2 teve que ser limpo no interior (Célula de amostragem com água no interior).</t>
  </si>
  <si>
    <t>Analisador de SO2 com lâmpada emissora em fim de vida. Foi substituída.</t>
  </si>
  <si>
    <t>Opacimetro com erro de contaminação elevada. Tubagem despipada do ventilador de ar de barragem.</t>
  </si>
  <si>
    <t>Analisador de gases não arracava. Erro de "INIT.COM". Problema provocado por curto circuito num dos acopladores ópticos.</t>
  </si>
  <si>
    <t>Transmissor de pressão diferencial da sonda de caudal D-FL 100 danificado com valor em corrente de 0mA. Foi substituído. Unidade de cálculo em alarme devido ao erro.</t>
  </si>
  <si>
    <t>Sonda de gases com posição incorrecta. Encontrava-se dentro da tubeira e não aspirava gás do interior do Forno. Valores de O2 muito elevados.</t>
  </si>
  <si>
    <t>Analisador de COT desligado devido a oxidação anormal dos cabos de ligação na UPS. Colocado novo cabo.</t>
  </si>
  <si>
    <t>Medida de CO com elevada instabilidade. Detector de CO com pouca amplitude de valores lidos. Subsituição do detector.</t>
  </si>
  <si>
    <t>Analisador de gases com células danificadas devido a humidade no interior das mesmas. Valores com bastante instabilidade. Não foi possível calibração do analisador com gás certificado.</t>
  </si>
  <si>
    <t>Opacimetro com saída analógica a 0. Carta de saídas analógicas danificada. Substituição completa da unidade de controlo.</t>
  </si>
  <si>
    <t>Analisador de SO2 com lâmpada emissora em fim de vida. Não permite realizar calibração do equipamento.</t>
  </si>
  <si>
    <t>Electroválvula de abastecimento de água ao tanque de refrigeração da sonda a actuar constantemente. Eléctrodos de nível máximo de água no tanque com bastante calcário. Foram limpos.</t>
  </si>
  <si>
    <t>Refrigerador de gases a 30º (normal de 3º). Ventilador do permutador queimado. Foi substituído.</t>
  </si>
  <si>
    <t>Falta de caudal no Analisador devido a rolamento gripado da bomba de amostragem. Foi substituída a bomba.</t>
  </si>
  <si>
    <t>Autómato desligado. Fusível de entrada do sistema queimado sem motivo aparente. Tudo OK.</t>
  </si>
  <si>
    <t>Falhas na comunicação GSM entre modem Atmis e postos. Problema devido a upgrade na rede de dados da TMN e incompatibilidade dos modems GSM dos postos.</t>
  </si>
  <si>
    <t>Bomba de remoção de condensados com caixa redutora danificada. Disparou detector de condensados.</t>
  </si>
  <si>
    <t>Datalogger desligado. Avaria no circuito de alimentação. Não foi possível reparar. Foi substituído.</t>
  </si>
  <si>
    <t>Fonte de alimentação do Analisador avariada. Curto circuito na régua de bornes provocado por sobretensão. Colocada nova fonte de alimentação, verificação de todos os circuitos eléctricos, correcção dos esquemas eléctricos originais do quadro eléctrico.</t>
  </si>
  <si>
    <t>Chopper (Modulador) da unidade de radiação com veio central partido. Foi possível reconstruir o veio devido a não ser possível a sua substituição (material absoleto). No entanto, o disco de modulação riscou a lente da célula. Foi possível calibrar o Analisador mas este ficou com alguma instabilidade.</t>
  </si>
  <si>
    <t>Refrigerador de gases com temperatura elevada. Ventilador do permutador queimado. Foi substituído.</t>
  </si>
  <si>
    <t>Valores do Analisador com grande instabilidade. Células com contaminação no interior. Foram lavadas e limpas. Analisador calibrado.</t>
  </si>
  <si>
    <t>Tubo de injecção de reagente masgado. Não estava a ocorrer injecção de reagente no circuito. Foi substituído.</t>
  </si>
  <si>
    <t>Mangueira aquecida desde a sonda até ao armário de pré condicionamento sem temperatura. Resistência de aquecimento danificada. Substituição da manga completa.</t>
  </si>
  <si>
    <t>Falta de água de recirculação da sonda. Bomba de recirculação danificada. Não recircula água. Substituída.</t>
  </si>
  <si>
    <t>Sinal de O2 na Supervisão com valores em máximo de escala. No Analisador, valores normais. Carta de saída 4~20 mA fixa no máximo de escala.</t>
  </si>
  <si>
    <t>Analisador de COT's em defeito. Válvula de Hidrogénio não abriu. Substituída.</t>
  </si>
  <si>
    <t>Analisador de gases com falha de caudal. Avaria causada por comuntação indevida de uma válvula. Reposta.</t>
  </si>
  <si>
    <t>Analisador de gases em alarme. Módulo de controlo de infravermelhos danificado. Infravermelhos e motor modulador fora de serviço. Detectores de gás sem valores brutos. Carta de controlo danificada.</t>
  </si>
  <si>
    <t>Sonda de gases com fuga de água para a rua. Sonda rôta. Foi substituída.</t>
  </si>
  <si>
    <t>Refrigerador a 24 º. Electroválvula empancada. Foi reiniciada.</t>
  </si>
  <si>
    <t>Opacimetro com valores "congelados". Problema devido a erro no emissor do Opacimetro. Foi substituído.</t>
  </si>
  <si>
    <t>Sistema em alarme devido a alarme de condensados. Alarme não real. Detector de condensados danificado, sem manobrar. Substituído.</t>
  </si>
  <si>
    <t>Analisador de PM10 em alarme de caudal. Colmatação da fita devido a excesso de partículas no ar. Alterado cycle time.</t>
  </si>
  <si>
    <t>Medidas de O2 com oscilações cíclicas na medida. Anomalia devido a defeito na bomba de amostragem. Substituída membrana de amostragem.</t>
  </si>
  <si>
    <t>Erro na calibração do Analisador de SO2. Erro de bus no sistema. Módulo de análise não comunica. Substituído.</t>
  </si>
  <si>
    <t>Analisador de COT's em defeito. Caudal de saída a zero. Injector obstruido. Foi limpo.</t>
  </si>
  <si>
    <t>Analisador de CO, NO e O2 com vestigios de humidade no interior. Avaria na bomba de remoção de condensados do refrigerador.</t>
  </si>
  <si>
    <t>Opacimetro em alarme com lentes contaminadas devido a disparo térmico do ventilador.</t>
  </si>
  <si>
    <t>Opacimetro com erros sucessivos devido a valores de emissões elevados. O erro provocado devia-se ao facto do opacimetro estar programado para comutar relé de defeito acima de determinado valor medido.</t>
  </si>
  <si>
    <t>Opacimetro com secundário da fonte de alimentação a zero. Transformador avariado. Substituição da placa de alimentação.</t>
  </si>
  <si>
    <t>Analisador com valores elevados de O2 devido a tubo da sonda gasto. Foi substituído.</t>
  </si>
  <si>
    <t>DIAS360</t>
  </si>
  <si>
    <t>Total de avarias e descrições referentes ao ano de 2015.</t>
  </si>
  <si>
    <t>Total de avarias por dia referentes ao ano de 2015 (sem descrições).</t>
  </si>
  <si>
    <t>Total por dia</t>
  </si>
  <si>
    <t>Total de avarias por local referentes ao ano de 2015 (sem descrições).</t>
  </si>
  <si>
    <t>Total de avarias e descrições referentes ao ano de 2010.</t>
  </si>
  <si>
    <t>Total de avarias e descrições referentes ao ano de 2011.</t>
  </si>
  <si>
    <t>Total de avarias e descrições referentes ao ano de 2012.</t>
  </si>
  <si>
    <t>Total de avarias e descrições referentes ao ano de 2013.</t>
  </si>
  <si>
    <t>Total de avarias e descrições referentes ao ano de 2014.</t>
  </si>
  <si>
    <t>Dias entre avarias</t>
  </si>
  <si>
    <t>(Inicio a 01-Jan)</t>
  </si>
  <si>
    <t>Total de avarias por local referentes ao ano de 2014 (sem descrições).</t>
  </si>
  <si>
    <t>Total de avarias por dia referentes ao ano de 2014 (sem descrições).</t>
  </si>
  <si>
    <t>Total de avarias por dia referentes ao ano de 2013 (sem descrições).</t>
  </si>
  <si>
    <t>Total de avarias por local referentes ao ano de 2013 (sem descrições).</t>
  </si>
  <si>
    <t>Total de avarias por dia referentes ao ano de 2012 (sem descrições).</t>
  </si>
  <si>
    <t>Total de avarias por local referentes ao ano de 2012 (sem descrições).</t>
  </si>
  <si>
    <t>A amarelo: Avaria que poderá estar relacionada com a exposição à amostra medida.</t>
  </si>
  <si>
    <t>Manga aquecida de transporte de gás desde a sonda que entra no forno com alarme de temperatura. Na realidade a manga não estava a aquecer porque o contactor de aquecimento desta manga tinha o contacto isolado (sem passagem de tensão da entrada para a saída).</t>
  </si>
  <si>
    <t>Tempo</t>
  </si>
  <si>
    <t>Tempo (estimativa)</t>
  </si>
  <si>
    <t>[min]</t>
  </si>
  <si>
    <t>Tempo (estimado)</t>
  </si>
  <si>
    <t>Valores medidos de O2 acima do normal com Forno em normal funcionamento. União do tubo de sopragem substituída. Ficou OK.</t>
  </si>
  <si>
    <t>Valores de O2 muito elevados. Sonda de gases no interior do Forno "cortada" em cerca de 20 cm. A recolher gás das paredes do ciclone (valores de O2 mais elevados).</t>
  </si>
  <si>
    <t>Frequência</t>
  </si>
  <si>
    <t>Tempo total KO</t>
  </si>
  <si>
    <t>Nota:</t>
  </si>
  <si>
    <t>MTBF Zona</t>
  </si>
  <si>
    <t>Total de avarias por local referentes ao ano de 2015 (MTBF por zona).</t>
  </si>
  <si>
    <t>Total de avarias por local referentes ao ano de 2015 (MTBF por equipamento).</t>
  </si>
  <si>
    <t>Equipamento</t>
  </si>
  <si>
    <t>MTBF Equip</t>
  </si>
  <si>
    <t>[dias]</t>
  </si>
  <si>
    <t>MTBF por zona.</t>
  </si>
  <si>
    <t>MTBF por equipamento.</t>
  </si>
  <si>
    <t xml:space="preserve"> </t>
  </si>
  <si>
    <t>Silo 1</t>
  </si>
  <si>
    <t>Silo 2</t>
  </si>
  <si>
    <t>Silo 3</t>
  </si>
  <si>
    <r>
      <rPr>
        <b/>
        <sz val="11"/>
        <color theme="1"/>
        <rFont val="Calibri"/>
        <family val="2"/>
        <scheme val="minor"/>
      </rPr>
      <t>Nota</t>
    </r>
    <r>
      <rPr>
        <sz val="11"/>
        <color theme="1"/>
        <rFont val="Calibri"/>
        <family val="2"/>
        <scheme val="minor"/>
      </rPr>
      <t>: Apesar de em cada local se encontrar mais do que um equipamento, a falha de um equipamento leva a que todos os equipamentos fiquem indisponíveis.</t>
    </r>
  </si>
  <si>
    <t>Para alterar: 0 avarias = 365 dias!!!!</t>
  </si>
  <si>
    <t>Lambda</t>
  </si>
  <si>
    <t>Mean Time Between Failures = (Total up time) / (number of breakdowns)</t>
  </si>
  <si>
    <t>Mean Time To Repair = (Total down time) / (number of breakdowns)</t>
  </si>
  <si>
    <t>Fiabilidade [R]</t>
  </si>
  <si>
    <t>Tempo de funcionamento</t>
  </si>
  <si>
    <t>Tempo de paragem</t>
  </si>
  <si>
    <t>[em horas]</t>
  </si>
  <si>
    <t>(Tempo activo)</t>
  </si>
  <si>
    <t>(Tempo inactivo)</t>
  </si>
  <si>
    <r>
      <rPr>
        <b/>
        <sz val="11"/>
        <color theme="1"/>
        <rFont val="Calibri"/>
        <family val="2"/>
        <scheme val="minor"/>
      </rPr>
      <t>Nota:</t>
    </r>
    <r>
      <rPr>
        <sz val="11"/>
        <color theme="1"/>
        <rFont val="Calibri"/>
        <family val="2"/>
        <scheme val="minor"/>
      </rPr>
      <t xml:space="preserve"> Quando a reparação é só substituir uma peça ou um componente parcial da peça, é considerado substituição do equipamento.</t>
    </r>
  </si>
  <si>
    <t>Subst/Rep.</t>
  </si>
  <si>
    <t>Substituição</t>
  </si>
  <si>
    <t>Reparação</t>
  </si>
  <si>
    <t>Depósito de água de refrigeração da sonda vazio embora com relés de nível de água actuados. Relés actuados devido às varetas do tanque estarem encostadas umas nas outras. Foram separadas. Reposto nível de água no tanque.</t>
  </si>
  <si>
    <t>MTTF = Mean Time to Failure (Aplicavel apenas em sistemas não reparáveis)</t>
  </si>
  <si>
    <t>MTTR Zona</t>
  </si>
  <si>
    <t>MTTR Equip</t>
  </si>
  <si>
    <t>f(t) = lambda * e^(-lambda * t)</t>
  </si>
  <si>
    <t>f(t) = Probabilidade de falha</t>
  </si>
  <si>
    <t>t = Tempo de funcionamento</t>
  </si>
  <si>
    <t>lambda = Ritmo médio de falhas</t>
  </si>
  <si>
    <t>F(t) = 1 - e^(-lambda * t)</t>
  </si>
  <si>
    <t>f(t)</t>
  </si>
  <si>
    <t>F(t)</t>
  </si>
  <si>
    <t>Lambda (Taxa média de falhas) = Nº de falhas / Tempo de operação</t>
  </si>
  <si>
    <t>[por ano]</t>
  </si>
  <si>
    <t>Fiabilidade: R = e^(-lambda*t)</t>
  </si>
  <si>
    <t>Média tempo avaria:</t>
  </si>
  <si>
    <t>Desvio padrão</t>
  </si>
  <si>
    <t>[minutos]</t>
  </si>
  <si>
    <t>Desvio (Aux)</t>
  </si>
  <si>
    <t>Total de avarias por local referentes ao ano de 2014 (MTBF por zona).</t>
  </si>
  <si>
    <t>Total de avarias por local referentes ao ano de 2013 (MTBF por zona).</t>
  </si>
  <si>
    <t>Total de avarias por local referentes ao ano de 2012 (MTBF por zona).</t>
  </si>
  <si>
    <t>Total de avarias por local referentes ao ano de 2011 (MTBF por zona).</t>
  </si>
  <si>
    <t>Total de avarias por local referentes ao ano de 2010 (MTBF por zona).</t>
  </si>
  <si>
    <t>Total de avarias por local referentes ao ano de 2013 (MTBF por equipamento).</t>
  </si>
  <si>
    <t>Total de avarias por local referentes ao ano de 2012 (MTBF por equipamento).</t>
  </si>
  <si>
    <t>Total de avarias por local referentes ao ano de 2011 (MTBF por equipamento).</t>
  </si>
  <si>
    <t>Total de avarias por local referentes ao ano de 2010 (MTBF por equipamento).</t>
  </si>
  <si>
    <t>Total de avarias por local referentes ao ano de 2014 (MTBF por equipamento).</t>
  </si>
  <si>
    <t>Função distribuição acumulada</t>
  </si>
  <si>
    <t>(Probabilidade de avariar até t)</t>
  </si>
  <si>
    <t>[em dias]</t>
  </si>
  <si>
    <t>(Probabilidade de sobreviver até t)</t>
  </si>
  <si>
    <t>F(t) - [Exponencial]</t>
  </si>
  <si>
    <t>R(t) - [Exponencial]</t>
  </si>
  <si>
    <t>Foi considerado para todos os equipamentos e zonas um funcionamento contínuo 24/7/360 dias que totaliza 518400 minutos</t>
  </si>
  <si>
    <t>Foi considerado para todos os equipamentos e zonas um funcionamento contínuo 24/7/365 dias * 5 anos que totaliza 2592000 minutos</t>
  </si>
  <si>
    <t>[a 5 anos]</t>
  </si>
  <si>
    <t>Funcionamento a 365 dias*5 anos</t>
  </si>
  <si>
    <t>Total de horas em 5 anos: 1314000</t>
  </si>
  <si>
    <t>Fiabilidade</t>
  </si>
  <si>
    <t>Total tempo avaria:</t>
  </si>
  <si>
    <t>Total minutos [5 anos]:</t>
  </si>
  <si>
    <t>[%]</t>
  </si>
  <si>
    <t>Dias</t>
  </si>
  <si>
    <t>R(t)</t>
  </si>
  <si>
    <t>Foi considerado para todos os equipamentos e zonas um funcionamento contínuo 24/7/360 dias em cada ano que totaliza 518400 minutos</t>
  </si>
  <si>
    <t>[a 1 ano]</t>
  </si>
  <si>
    <t>Total minutos [1 ano]:</t>
  </si>
  <si>
    <t>[5 a 5]</t>
  </si>
  <si>
    <t>[2010]</t>
  </si>
  <si>
    <t>Distribuição Exponencial de 2010 a 2015.</t>
  </si>
  <si>
    <t>[2011]</t>
  </si>
  <si>
    <t>[2012]</t>
  </si>
  <si>
    <t>[2013]</t>
  </si>
  <si>
    <t>[2014]</t>
  </si>
  <si>
    <t>[2015]</t>
  </si>
  <si>
    <t>Chaminé Principal</t>
  </si>
  <si>
    <t>Tempo entre avarias</t>
  </si>
  <si>
    <t>xxxxxxxxxx</t>
  </si>
  <si>
    <t>Tempos ordenados</t>
  </si>
  <si>
    <t>[raw - dias]</t>
  </si>
  <si>
    <t>Tempos por ordenar</t>
  </si>
  <si>
    <t>[dias] - (ti)</t>
  </si>
  <si>
    <t>i</t>
  </si>
  <si>
    <t>n =</t>
  </si>
  <si>
    <t>ti</t>
  </si>
  <si>
    <t>^R^(ti)</t>
  </si>
  <si>
    <t>ti=Tempo de teste até falha ocorrer</t>
  </si>
  <si>
    <t>i=Equipamento</t>
  </si>
  <si>
    <t>^R^(ti) = Estimador da fiabilidade em função temporal</t>
  </si>
  <si>
    <t>.=(n-i+0,625) / (n+0,25), com n &lt; 25</t>
  </si>
  <si>
    <t>Distribuição Weibull</t>
  </si>
  <si>
    <t>xxxxxxxx</t>
  </si>
  <si>
    <t>n=Numero de equipamentos a testar</t>
  </si>
  <si>
    <t>Tipo de avaria por categoria</t>
  </si>
  <si>
    <t>A</t>
  </si>
  <si>
    <t>B</t>
  </si>
  <si>
    <t>C</t>
  </si>
  <si>
    <t>Avaria mecânica</t>
  </si>
  <si>
    <t>Avaria eléctrica/electrónica</t>
  </si>
  <si>
    <t>Tipo de avaria</t>
  </si>
  <si>
    <t>Outras</t>
  </si>
  <si>
    <t>[A; B; C]</t>
  </si>
  <si>
    <t>Para todas as avarias, sem qualquer tipo de divisão ou catálogo.</t>
  </si>
  <si>
    <t>Para todas as avarias, COM divisão ou catálogo.</t>
  </si>
  <si>
    <t>^Q^(ti)</t>
  </si>
  <si>
    <t>y(i)</t>
  </si>
  <si>
    <t>x(i)</t>
  </si>
  <si>
    <t>^E^(ti)</t>
  </si>
  <si>
    <t>^Y^</t>
  </si>
  <si>
    <t>^Xi^</t>
  </si>
  <si>
    <t>^X^ * ^X^</t>
  </si>
  <si>
    <t>^X^ * ^Y^</t>
  </si>
  <si>
    <t>R(t), Weibull</t>
  </si>
  <si>
    <t>alfa e beta:</t>
  </si>
  <si>
    <t>Para calcular a matriz:</t>
  </si>
  <si>
    <t>Matriz</t>
  </si>
  <si>
    <t>&lt;=&gt;</t>
  </si>
  <si>
    <t>x</t>
  </si>
  <si>
    <t>Alfa:</t>
  </si>
  <si>
    <t>Beta:</t>
  </si>
  <si>
    <t>Depois de se inverter a matriz na célula K66, faz-se a selecção K66:L67 e carrega-se em F2 -&gt; CTRL+SHIFT+ENTER.</t>
  </si>
  <si>
    <t>Depois de se multiplicar a matriz na célula K71, faz-se a selecção K71:K72 e carrega-se em F2 -&gt; CTRL+SHIFT+ENTER.</t>
  </si>
  <si>
    <t>Intervalo de tempo de 10 em 10 dias.</t>
  </si>
  <si>
    <t>Somatórios:</t>
  </si>
  <si>
    <t>Incinerador 1</t>
  </si>
  <si>
    <t>Total de avarias por local referentes ao Incinerador 1 (MTBF apenas referente ao Forno).</t>
  </si>
  <si>
    <t>Total de avarias por local referentes ao Incinerador 1 (MTBF por equipamento).</t>
  </si>
  <si>
    <t>Incinerador 1:</t>
  </si>
  <si>
    <t>Inci1 - Alimentação</t>
  </si>
  <si>
    <t>Inci1 - Chaminé</t>
  </si>
  <si>
    <t>Inci1 - Secador</t>
  </si>
  <si>
    <t>Incinerador 2</t>
  </si>
  <si>
    <t>Melhoramento de sistema do Incinerador 2. Montagem de detectores de condesados e colocação do relé de disparo. Ensaio do sistema. Desta forma a entrada dos Analisadores fica protegida contra eventual circulação de água no circuito de amostragem.</t>
  </si>
  <si>
    <t>Total de avarias por local referentes ao Incinerador 2 (MTBF apenas referente ao Forno).</t>
  </si>
  <si>
    <t>Total de avarias por local referentes ao Incinerador 2 (MTBF por equipamento).</t>
  </si>
  <si>
    <t>Incinerador 2:</t>
  </si>
  <si>
    <t>Inci2 - Alimentação</t>
  </si>
  <si>
    <t>Inci2 - Precipitador</t>
  </si>
  <si>
    <t>Inci2 - Chaminé</t>
  </si>
  <si>
    <t>Inci2 - Secador</t>
  </si>
  <si>
    <t>Incinerador 3</t>
  </si>
  <si>
    <t>Retirado armário antigo do Analisador da Chaminé do Incinerador 3. Colocado o novo (às peças devido ao peso excessivo). Inicio das ligações eléctricas de alimentações e sinais eléctricos.</t>
  </si>
  <si>
    <t>Total de avarias por local referentes ao Incinerador 3 (MTBF apenas referente ao Forno).</t>
  </si>
  <si>
    <t>Total de avarias por local referentes ao Incinerador 3 (MTBF por equipamento).</t>
  </si>
  <si>
    <t>Incinerador 3:</t>
  </si>
  <si>
    <t>Inci3 - Alimentação</t>
  </si>
  <si>
    <t>Inci3 - Precipitador</t>
  </si>
  <si>
    <t>Inci3 - Chaminé</t>
  </si>
  <si>
    <t>Inci3 - Calcinador</t>
  </si>
  <si>
    <t>Inci3 - Aquecedor</t>
  </si>
  <si>
    <t>Inci3 - Secador</t>
  </si>
  <si>
    <t>Alimentação</t>
  </si>
  <si>
    <t>Sonda de gases da Alimentação a extrair do forno automáticamente devido a temperatura da água de refrigeração muito elevada. Foi ajustada a regulação da válvula de alimentação/recirculação de água do circuito de forma a baixar a temperatura.</t>
  </si>
  <si>
    <t>Alimentação (Tipo A)</t>
  </si>
  <si>
    <t>Alimentação (Tipo B)</t>
  </si>
  <si>
    <t>Alimentação (Tipo A + B)</t>
  </si>
  <si>
    <t>F3- Alimentação</t>
  </si>
  <si>
    <t>Precipitador</t>
  </si>
  <si>
    <t>Medidor de partículas com sinal de alarme devido a sujidade excessiva nas lentes ópticas assim como com bastante humidade. Causa do problema foi um disparo térmico do ventilador de "ar de barragem" que recolhe ar filtrado da rua  mantém as lentes limpas e secas devido aos gases que passam no interior da Chaminé estarem a uma temperatura mais elevada que o ar ambiente da rua. Neste caso foi necessário desmontar o equipamento para ser limpo no interior.</t>
  </si>
  <si>
    <t>Valor de um dos componentes de medição do Analisador acima do valor legal de emissão. Valor irreal que estava a ser falseado devido a degradação de o'rings vedantes no circuito de recolha do gás da Chaminé.</t>
  </si>
  <si>
    <t>Analisador de gases da Chaminé com erro de comunicação. Medidas analógicas 4 a 20 mA a zero. EPROM da carta de comunicação corrompida.</t>
  </si>
  <si>
    <t>Opacimetro em erro com lentes sujas provocado pela chuva. A Chaminé não tem cobertura e chove no seu interior. O opacimentro acumula alguma água que é arrastada pelo ar de barragem e salpica a primeira lente receptora.</t>
  </si>
  <si>
    <t>Opacimetro com valores elevados de sujidade nas lentes. Necessidade de substituição do conjunto de lentes que fica na extremidade da lança e que se encontra dentro da Chaminé. Depois da substituição, os valores de contaminação baixaram consideravelmente.</t>
  </si>
  <si>
    <t>Analisador da Chaminé em erro devido a prisão no motor de modulação do infravermelho. Foi ajustada a posição do motor e respectivo modulador.</t>
  </si>
  <si>
    <t>Analisador de gases com O2 muito elevado após auto-calibração. Electroválvula de ar de limpeza não fechou totalmente devido ao relé que a comuta ter contacto isolado . Originou mistura de ar da Chaminé com o ar de limpeza, logo, falseou os valores medidos.</t>
  </si>
  <si>
    <t>Calcinador</t>
  </si>
  <si>
    <t>Aquecedor</t>
  </si>
  <si>
    <t>Secador</t>
  </si>
  <si>
    <t>Urbanos</t>
  </si>
  <si>
    <t>Total de avarias por local referentes ao Postos de Urbanos exterior (MTBF apenas referente aos Postos no total).</t>
  </si>
  <si>
    <t>Total de avarias por local referentes ao Postos de Urbanos exterior (MTBF apenas por cada posto).</t>
  </si>
  <si>
    <t>Postos Urb.:</t>
  </si>
  <si>
    <t>Serra de Lagares</t>
  </si>
  <si>
    <t>Urb. - Serra de Lagares</t>
  </si>
  <si>
    <t>Ponte do rio</t>
  </si>
  <si>
    <t>Urb. - Ponte do rio</t>
  </si>
  <si>
    <t>Estacionamento auto</t>
  </si>
  <si>
    <t>Urb. - Estacionamento auto</t>
  </si>
  <si>
    <t>Ribeira</t>
  </si>
  <si>
    <t>Urb. - Ribeira</t>
  </si>
  <si>
    <t>Encosta dos cedros Acústica</t>
  </si>
  <si>
    <t>Urb. - Encosta dos cedros</t>
  </si>
  <si>
    <t>Encosta dos cedros</t>
  </si>
  <si>
    <t>Moinhos</t>
  </si>
  <si>
    <t>Total de avarias por local referentes às Moinhos (MTBF apenas referente às Moinhos).</t>
  </si>
  <si>
    <t>Total de avarias por local referentes às Moinhos (MTBF por equipamentos).</t>
  </si>
  <si>
    <t>Moinho 1</t>
  </si>
  <si>
    <t>MMoinho 1</t>
  </si>
  <si>
    <t>Moinho 1 - Chaminé</t>
  </si>
  <si>
    <t>Moinho 2</t>
  </si>
  <si>
    <t>MMoinho 2</t>
  </si>
  <si>
    <t>Moinho 2 - Chaminé</t>
  </si>
  <si>
    <t>Moinho 3</t>
  </si>
  <si>
    <t>MMoinho 3</t>
  </si>
  <si>
    <t>Moinho 3 - Chaminé</t>
  </si>
  <si>
    <t>Moinho 4</t>
  </si>
  <si>
    <t>MMoinho 4</t>
  </si>
  <si>
    <t>Moinho 4 - Chaminé</t>
  </si>
  <si>
    <t>Combustível fossil 31:</t>
  </si>
  <si>
    <t>Combustível fossil 41:</t>
  </si>
  <si>
    <t>CF31 - Chaminé</t>
  </si>
  <si>
    <t>CF41 - Precipitador</t>
  </si>
  <si>
    <t>CF41 - Chaminé</t>
  </si>
  <si>
    <t>Pasta de papel</t>
  </si>
  <si>
    <t>Combustivel fossil 31</t>
  </si>
  <si>
    <t>Total de avarias por local referentes ao Moinho de Combustivel fossil 31 (MTBF apenas referente ao Moinho de Carvão).</t>
  </si>
  <si>
    <t>Total de avarias por local referentes ao Moinho de Combustivel fossil 31 (MTBF por equipamento).</t>
  </si>
  <si>
    <t>Combustivel Fossil 41</t>
  </si>
  <si>
    <t>Total de avarias por local referentes ao Moinho de Combustivel Fossil 41 (MTBF apenas referente ao Moinho de Carvão).</t>
  </si>
  <si>
    <t>Total de avarias por local referentes ao Moinho de Combustivel Fossil 41 (MTBF por equipamento).</t>
  </si>
  <si>
    <t>"Copo" do primeiro Precipitador de entrada de gás danificado (desgastado). Entrada de ar falso que falseou os valores lidos de gás do interior do forno.</t>
  </si>
  <si>
    <t>Célula de medição de CO do Analisador suja no interior (com pó). Analisador com valores irreais. Neste caso foi possível lavar a célula. Foram tomadas medidas para prevenir nova situação, nomeadamente a substituição de todos os Precipitadors antes do equipamento.</t>
  </si>
  <si>
    <t>Célula de medição de NO com sujidade no interior sem motivo aparente. Sensação de que ocorreu condensação nas tubagens apesar dos Precipitadors que "bloqueiam" a água de entrar no sistema estarem limpos e secos. Foi lavada.</t>
  </si>
  <si>
    <t>Opacimetro em alarme com erro de contaminação devido a lentes sujas. Precipitador de particulas roto.</t>
  </si>
  <si>
    <t>Oscilações nos valores de O2. Precipitador cerâmico colmatado.</t>
  </si>
  <si>
    <t>CF31 - Precipitador</t>
  </si>
  <si>
    <t>Entupimento dos tubos de recolha de amostra no Precipitador. Motivo: O'ring do Precipitador da sonda danificado.</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</si>
</sst>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000"/>
    <numFmt numFmtId="165" formatCode="0.00000000"/>
    <numFmt numFmtId="166" formatCode="0.000000000000"/>
  </numFmts>
  <fonts count="16" x14ac:knownFonts="1">
    <font>
      <sz val="11"/>
      <color theme="1"/>
      <name val="Calibri"/>
      <family val="2"/>
      <scheme val="minor"/>
    </font>
    <font>
      <b/>
      <sz val="11"/>
      <color theme="1"/>
      <name val="Calibri"/>
      <family val="2"/>
      <scheme val="minor"/>
    </font>
    <font>
      <sz val="9"/>
      <color indexed="81"/>
      <name val="Tahoma"/>
      <family val="2"/>
    </font>
    <font>
      <b/>
      <sz val="9"/>
      <color indexed="81"/>
      <name val="Tahoma"/>
      <family val="2"/>
    </font>
    <font>
      <b/>
      <sz val="16"/>
      <color theme="1"/>
      <name val="Calibri"/>
      <family val="2"/>
      <scheme val="minor"/>
    </font>
    <font>
      <b/>
      <u/>
      <sz val="11"/>
      <color theme="1"/>
      <name val="Calibri"/>
      <family val="2"/>
      <scheme val="minor"/>
    </font>
    <font>
      <i/>
      <sz val="11"/>
      <color theme="1"/>
      <name val="Calibri"/>
      <family val="2"/>
      <scheme val="minor"/>
    </font>
    <font>
      <sz val="11"/>
      <color rgb="FFFF0000"/>
      <name val="Calibri"/>
      <family val="2"/>
      <scheme val="minor"/>
    </font>
    <font>
      <sz val="11"/>
      <color rgb="FF000000"/>
      <name val="Arial"/>
      <family val="2"/>
    </font>
    <font>
      <sz val="11"/>
      <color theme="1"/>
      <name val="Arial"/>
      <family val="2"/>
    </font>
    <font>
      <sz val="9"/>
      <color indexed="81"/>
      <name val="Tahoma"/>
      <charset val="1"/>
    </font>
    <font>
      <b/>
      <sz val="9"/>
      <color indexed="81"/>
      <name val="Tahoma"/>
      <charset val="1"/>
    </font>
    <font>
      <b/>
      <sz val="11"/>
      <color rgb="FF7030A0"/>
      <name val="Calibri"/>
      <family val="2"/>
      <scheme val="minor"/>
    </font>
    <font>
      <sz val="11"/>
      <color rgb="FF7030A0"/>
      <name val="Calibri"/>
      <family val="2"/>
      <scheme val="minor"/>
    </font>
    <font>
      <sz val="11"/>
      <name val="Calibri"/>
      <family val="2"/>
      <scheme val="minor"/>
    </font>
    <font>
      <strike/>
      <sz val="11"/>
      <color theme="1"/>
      <name val="Calibri"/>
      <family val="2"/>
      <scheme val="minor"/>
    </font>
  </fonts>
  <fills count="5">
    <fill>
      <patternFill patternType="none"/>
    </fill>
    <fill>
      <patternFill patternType="gray125"/>
    </fill>
    <fill>
      <patternFill patternType="solid">
        <fgColor theme="3" tint="0.59999389629810485"/>
        <bgColor indexed="64"/>
      </patternFill>
    </fill>
    <fill>
      <patternFill patternType="solid">
        <fgColor rgb="FFFFFF00"/>
        <bgColor indexed="64"/>
      </patternFill>
    </fill>
    <fill>
      <patternFill patternType="solid">
        <fgColor theme="0" tint="-0.14999847407452621"/>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bottom/>
      <diagonal/>
    </border>
  </borders>
  <cellStyleXfs count="1">
    <xf numFmtId="0" fontId="0" fillId="0" borderId="0"/>
  </cellStyleXfs>
  <cellXfs count="146">
    <xf numFmtId="0" fontId="0" fillId="0" borderId="0" xfId="0"/>
    <xf numFmtId="14" fontId="0" fillId="0" borderId="0" xfId="0" applyNumberFormat="1"/>
    <xf numFmtId="0" fontId="1" fillId="0" borderId="0" xfId="0" applyFont="1"/>
    <xf numFmtId="2" fontId="0" fillId="0" borderId="0" xfId="0" applyNumberFormat="1"/>
    <xf numFmtId="0" fontId="4" fillId="0" borderId="0" xfId="0" applyFont="1"/>
    <xf numFmtId="14" fontId="0" fillId="0" borderId="1" xfId="0" applyNumberFormat="1" applyBorder="1"/>
    <xf numFmtId="0" fontId="0" fillId="0" borderId="1" xfId="0" applyBorder="1"/>
    <xf numFmtId="0" fontId="1" fillId="2" borderId="1" xfId="0" applyFont="1" applyFill="1" applyBorder="1"/>
    <xf numFmtId="14" fontId="0" fillId="2" borderId="1" xfId="0" applyNumberFormat="1" applyFill="1" applyBorder="1"/>
    <xf numFmtId="0" fontId="0" fillId="2" borderId="1" xfId="0" applyFill="1" applyBorder="1"/>
    <xf numFmtId="1" fontId="0" fillId="0" borderId="1" xfId="0" applyNumberFormat="1" applyBorder="1"/>
    <xf numFmtId="0" fontId="0" fillId="0" borderId="0" xfId="0" applyBorder="1"/>
    <xf numFmtId="1" fontId="0" fillId="0" borderId="0" xfId="0" applyNumberFormat="1" applyBorder="1"/>
    <xf numFmtId="14" fontId="0" fillId="0" borderId="0" xfId="0" applyNumberFormat="1" applyBorder="1"/>
    <xf numFmtId="1" fontId="0" fillId="0" borderId="1" xfId="0" applyNumberFormat="1" applyFill="1" applyBorder="1"/>
    <xf numFmtId="0" fontId="4" fillId="0" borderId="0" xfId="0" applyFont="1" applyFill="1"/>
    <xf numFmtId="0" fontId="0" fillId="0" borderId="0" xfId="0" applyFill="1"/>
    <xf numFmtId="0" fontId="1" fillId="0" borderId="0" xfId="0" applyFont="1" applyFill="1"/>
    <xf numFmtId="14" fontId="0" fillId="0" borderId="0" xfId="0" applyNumberFormat="1" applyFill="1"/>
    <xf numFmtId="0" fontId="0" fillId="0" borderId="0" xfId="0" applyNumberFormat="1" applyFill="1"/>
    <xf numFmtId="2" fontId="0" fillId="0" borderId="0" xfId="0" applyNumberFormat="1" applyFill="1"/>
    <xf numFmtId="0" fontId="0" fillId="3" borderId="0" xfId="0" applyFill="1"/>
    <xf numFmtId="1" fontId="0" fillId="0" borderId="0" xfId="0" applyNumberFormat="1" applyAlignment="1">
      <alignment wrapText="1"/>
    </xf>
    <xf numFmtId="14" fontId="0" fillId="0" borderId="0" xfId="0" applyNumberFormat="1" applyAlignment="1">
      <alignment wrapText="1"/>
    </xf>
    <xf numFmtId="0" fontId="0" fillId="0" borderId="0" xfId="0" applyAlignment="1">
      <alignment wrapText="1"/>
    </xf>
    <xf numFmtId="0" fontId="0" fillId="3" borderId="0" xfId="0" applyFill="1" applyAlignment="1">
      <alignment wrapText="1"/>
    </xf>
    <xf numFmtId="0" fontId="0" fillId="0" borderId="0" xfId="0" applyNumberFormat="1" applyFill="1" applyAlignment="1">
      <alignment wrapText="1"/>
    </xf>
    <xf numFmtId="14" fontId="0" fillId="0" borderId="0" xfId="0" applyNumberFormat="1" applyFill="1" applyAlignment="1">
      <alignment wrapText="1"/>
    </xf>
    <xf numFmtId="0" fontId="0" fillId="0" borderId="0" xfId="0" applyFill="1" applyAlignment="1">
      <alignment wrapText="1"/>
    </xf>
    <xf numFmtId="1" fontId="0" fillId="0" borderId="0" xfId="0" applyNumberFormat="1" applyFill="1" applyAlignment="1">
      <alignment wrapText="1"/>
    </xf>
    <xf numFmtId="0" fontId="0" fillId="0" borderId="1" xfId="0" applyFill="1" applyBorder="1" applyAlignment="1">
      <alignment wrapText="1"/>
    </xf>
    <xf numFmtId="0" fontId="0" fillId="4" borderId="1" xfId="0" applyFill="1" applyBorder="1"/>
    <xf numFmtId="0" fontId="5" fillId="0" borderId="0" xfId="0" applyFont="1"/>
    <xf numFmtId="0" fontId="0" fillId="0" borderId="1" xfId="0" applyFill="1" applyBorder="1"/>
    <xf numFmtId="0" fontId="0" fillId="0" borderId="1" xfId="0" applyBorder="1" applyAlignment="1">
      <alignment wrapText="1"/>
    </xf>
    <xf numFmtId="0" fontId="6" fillId="0" borderId="0" xfId="0" applyFont="1"/>
    <xf numFmtId="0" fontId="4" fillId="0" borderId="0" xfId="0" applyFont="1" applyAlignment="1"/>
    <xf numFmtId="0" fontId="8" fillId="0" borderId="0" xfId="0" applyFont="1" applyAlignment="1">
      <alignment vertical="center"/>
    </xf>
    <xf numFmtId="0" fontId="7" fillId="0" borderId="0" xfId="0" applyFont="1" applyFill="1" applyAlignment="1">
      <alignment wrapText="1"/>
    </xf>
    <xf numFmtId="0" fontId="7" fillId="0" borderId="0" xfId="0" applyNumberFormat="1" applyFont="1" applyFill="1" applyAlignment="1">
      <alignment wrapText="1"/>
    </xf>
    <xf numFmtId="0" fontId="9" fillId="0" borderId="0" xfId="0" applyFont="1"/>
    <xf numFmtId="0" fontId="12" fillId="2" borderId="1" xfId="0" applyFont="1" applyFill="1" applyBorder="1"/>
    <xf numFmtId="0" fontId="13" fillId="2" borderId="1" xfId="0" applyFont="1" applyFill="1" applyBorder="1"/>
    <xf numFmtId="0" fontId="0" fillId="0" borderId="1" xfId="0" applyFill="1" applyBorder="1" applyAlignment="1">
      <alignment horizontal="right"/>
    </xf>
    <xf numFmtId="0" fontId="0" fillId="0" borderId="1" xfId="0" applyBorder="1" applyAlignment="1">
      <alignment horizontal="right"/>
    </xf>
    <xf numFmtId="0" fontId="0" fillId="0" borderId="8" xfId="0" applyBorder="1"/>
    <xf numFmtId="0" fontId="0" fillId="0" borderId="9" xfId="0" applyBorder="1" applyAlignment="1">
      <alignment horizontal="right"/>
    </xf>
    <xf numFmtId="1" fontId="7" fillId="0" borderId="0" xfId="0" applyNumberFormat="1" applyFont="1" applyFill="1" applyAlignment="1">
      <alignment wrapText="1"/>
    </xf>
    <xf numFmtId="1" fontId="7" fillId="0" borderId="0" xfId="0" applyNumberFormat="1" applyFont="1" applyAlignment="1">
      <alignment wrapText="1"/>
    </xf>
    <xf numFmtId="0" fontId="14" fillId="0" borderId="0" xfId="0" applyFont="1" applyFill="1" applyAlignment="1">
      <alignment wrapText="1"/>
    </xf>
    <xf numFmtId="1" fontId="14" fillId="0" borderId="0" xfId="0" applyNumberFormat="1" applyFont="1" applyAlignment="1">
      <alignment wrapText="1"/>
    </xf>
    <xf numFmtId="14" fontId="14" fillId="0" borderId="0" xfId="0" applyNumberFormat="1" applyFont="1" applyAlignment="1">
      <alignment wrapText="1"/>
    </xf>
    <xf numFmtId="2" fontId="0" fillId="0" borderId="0" xfId="0" applyNumberFormat="1" applyFill="1" applyAlignment="1">
      <alignment wrapText="1"/>
    </xf>
    <xf numFmtId="0" fontId="15" fillId="0" borderId="0" xfId="0" applyFont="1"/>
    <xf numFmtId="0" fontId="0" fillId="4" borderId="0" xfId="0" applyNumberFormat="1" applyFill="1" applyAlignment="1">
      <alignment wrapText="1"/>
    </xf>
    <xf numFmtId="0" fontId="7" fillId="4" borderId="0" xfId="0" applyNumberFormat="1" applyFont="1" applyFill="1" applyAlignment="1">
      <alignment wrapText="1"/>
    </xf>
    <xf numFmtId="0" fontId="14" fillId="0" borderId="0" xfId="0" applyNumberFormat="1" applyFont="1" applyFill="1" applyAlignment="1">
      <alignment wrapText="1"/>
    </xf>
    <xf numFmtId="0" fontId="14" fillId="4" borderId="0" xfId="0" applyNumberFormat="1" applyFont="1" applyFill="1" applyAlignment="1">
      <alignment wrapText="1"/>
    </xf>
    <xf numFmtId="0" fontId="0" fillId="4" borderId="0" xfId="0" applyFill="1"/>
    <xf numFmtId="0" fontId="0" fillId="0" borderId="0" xfId="0" applyFill="1" applyBorder="1" applyAlignment="1">
      <alignment wrapText="1"/>
    </xf>
    <xf numFmtId="0" fontId="0" fillId="0" borderId="0" xfId="0" applyFill="1" applyBorder="1"/>
    <xf numFmtId="0" fontId="0" fillId="0" borderId="0" xfId="0" applyFill="1" applyBorder="1" applyAlignment="1">
      <alignment horizontal="right"/>
    </xf>
    <xf numFmtId="0" fontId="0" fillId="4" borderId="10" xfId="0" applyFill="1" applyBorder="1"/>
    <xf numFmtId="0" fontId="0" fillId="0" borderId="10" xfId="0" applyFill="1" applyBorder="1" applyAlignment="1">
      <alignment horizontal="right"/>
    </xf>
    <xf numFmtId="0" fontId="0" fillId="0" borderId="10" xfId="0" applyBorder="1"/>
    <xf numFmtId="14" fontId="0" fillId="0" borderId="0" xfId="0" applyNumberFormat="1" applyFill="1" applyBorder="1"/>
    <xf numFmtId="0" fontId="0" fillId="0" borderId="3" xfId="0" applyBorder="1"/>
    <xf numFmtId="1" fontId="15" fillId="0" borderId="0" xfId="0" applyNumberFormat="1" applyFont="1" applyFill="1" applyAlignment="1">
      <alignment wrapText="1"/>
    </xf>
    <xf numFmtId="14" fontId="15" fillId="0" borderId="0" xfId="0" applyNumberFormat="1" applyFont="1" applyFill="1" applyAlignment="1">
      <alignment wrapText="1"/>
    </xf>
    <xf numFmtId="0" fontId="15" fillId="0" borderId="0" xfId="0" applyFont="1" applyFill="1" applyAlignment="1">
      <alignment wrapText="1"/>
    </xf>
    <xf numFmtId="0" fontId="15" fillId="0" borderId="0" xfId="0" applyFont="1" applyFill="1"/>
    <xf numFmtId="14" fontId="0" fillId="4" borderId="1" xfId="0" applyNumberFormat="1" applyFill="1" applyBorder="1"/>
    <xf numFmtId="14" fontId="0" fillId="4" borderId="10" xfId="0" applyNumberFormat="1" applyFill="1" applyBorder="1"/>
    <xf numFmtId="0" fontId="0" fillId="0" borderId="11" xfId="0" applyFill="1" applyBorder="1" applyAlignment="1">
      <alignment horizontal="right"/>
    </xf>
    <xf numFmtId="0" fontId="0" fillId="0" borderId="11" xfId="0" applyBorder="1"/>
    <xf numFmtId="0" fontId="12" fillId="3" borderId="12" xfId="0" applyFont="1" applyFill="1" applyBorder="1"/>
    <xf numFmtId="0" fontId="12" fillId="3" borderId="1" xfId="0" applyFont="1" applyFill="1" applyBorder="1"/>
    <xf numFmtId="0" fontId="0" fillId="0" borderId="0" xfId="0" applyFont="1"/>
    <xf numFmtId="0" fontId="1" fillId="2" borderId="8" xfId="0" applyFont="1" applyFill="1" applyBorder="1" applyAlignment="1">
      <alignment horizontal="center" wrapText="1"/>
    </xf>
    <xf numFmtId="0" fontId="0" fillId="0" borderId="1" xfId="0" applyBorder="1" applyAlignment="1">
      <alignment horizontal="center" vertical="center" wrapText="1"/>
    </xf>
    <xf numFmtId="0" fontId="0" fillId="0" borderId="0" xfId="0" applyAlignment="1">
      <alignment horizontal="right"/>
    </xf>
    <xf numFmtId="0" fontId="0" fillId="2" borderId="0" xfId="0" applyFill="1" applyAlignment="1">
      <alignment horizontal="center"/>
    </xf>
    <xf numFmtId="0" fontId="1" fillId="2" borderId="1" xfId="0" applyFont="1" applyFill="1" applyBorder="1" applyAlignment="1">
      <alignment horizontal="center"/>
    </xf>
    <xf numFmtId="164" fontId="0" fillId="0" borderId="1" xfId="0" applyNumberFormat="1" applyBorder="1"/>
    <xf numFmtId="0" fontId="0" fillId="0" borderId="0" xfId="0" applyBorder="1" applyAlignment="1">
      <alignment wrapText="1"/>
    </xf>
    <xf numFmtId="164" fontId="0" fillId="0" borderId="8" xfId="0" applyNumberFormat="1" applyBorder="1"/>
    <xf numFmtId="0" fontId="0" fillId="0" borderId="10" xfId="0" applyBorder="1" applyAlignment="1">
      <alignment wrapText="1"/>
    </xf>
    <xf numFmtId="164" fontId="0" fillId="0" borderId="0" xfId="0" applyNumberFormat="1" applyBorder="1"/>
    <xf numFmtId="164" fontId="0" fillId="0" borderId="1" xfId="0" applyNumberFormat="1" applyFill="1" applyBorder="1"/>
    <xf numFmtId="0" fontId="0" fillId="0" borderId="1" xfId="0" applyFill="1" applyBorder="1" applyAlignment="1">
      <alignment horizontal="right" vertical="center" wrapText="1"/>
    </xf>
    <xf numFmtId="0" fontId="0" fillId="0" borderId="3" xfId="0" applyBorder="1" applyAlignment="1">
      <alignment wrapText="1"/>
    </xf>
    <xf numFmtId="164" fontId="0" fillId="0" borderId="3" xfId="0" applyNumberFormat="1" applyBorder="1"/>
    <xf numFmtId="164" fontId="0" fillId="0" borderId="2" xfId="0" applyNumberFormat="1" applyBorder="1"/>
    <xf numFmtId="164" fontId="0" fillId="0" borderId="0" xfId="0" applyNumberFormat="1" applyFill="1" applyBorder="1"/>
    <xf numFmtId="0" fontId="0" fillId="0" borderId="0" xfId="0" applyFill="1" applyAlignment="1">
      <alignment horizontal="center"/>
    </xf>
    <xf numFmtId="0" fontId="0" fillId="0" borderId="9" xfId="0" applyBorder="1"/>
    <xf numFmtId="0" fontId="1" fillId="2" borderId="1" xfId="0" applyFont="1" applyFill="1" applyBorder="1" applyAlignment="1">
      <alignment horizontal="center"/>
    </xf>
    <xf numFmtId="0" fontId="1" fillId="2" borderId="1" xfId="0" applyFont="1" applyFill="1" applyBorder="1" applyAlignment="1">
      <alignment horizontal="center"/>
    </xf>
    <xf numFmtId="0" fontId="0" fillId="0" borderId="1" xfId="0" applyBorder="1" applyAlignment="1">
      <alignment horizontal="center"/>
    </xf>
    <xf numFmtId="0" fontId="0" fillId="0" borderId="0" xfId="0" applyFill="1" applyBorder="1" applyAlignment="1">
      <alignment horizontal="left"/>
    </xf>
    <xf numFmtId="0" fontId="0" fillId="0" borderId="1" xfId="0" applyBorder="1" applyAlignment="1">
      <alignment horizontal="right" vertical="center" wrapText="1"/>
    </xf>
    <xf numFmtId="0" fontId="1" fillId="2" borderId="1" xfId="0" applyFont="1" applyFill="1" applyBorder="1" applyAlignment="1">
      <alignment horizontal="center"/>
    </xf>
    <xf numFmtId="0" fontId="0" fillId="3" borderId="1" xfId="0" applyFill="1" applyBorder="1" applyAlignment="1">
      <alignment wrapText="1"/>
    </xf>
    <xf numFmtId="0" fontId="0" fillId="3" borderId="1" xfId="0" applyFill="1" applyBorder="1"/>
    <xf numFmtId="164" fontId="0" fillId="3" borderId="1" xfId="0" applyNumberFormat="1" applyFill="1" applyBorder="1"/>
    <xf numFmtId="0" fontId="1" fillId="2" borderId="1" xfId="0" applyFont="1" applyFill="1" applyBorder="1" applyAlignment="1">
      <alignment horizontal="center"/>
    </xf>
    <xf numFmtId="0" fontId="1" fillId="3" borderId="0" xfId="0" applyFont="1" applyFill="1"/>
    <xf numFmtId="0" fontId="0" fillId="2" borderId="0" xfId="0" applyFill="1"/>
    <xf numFmtId="0" fontId="0" fillId="0" borderId="0" xfId="0" applyAlignment="1">
      <alignment horizontal="center"/>
    </xf>
    <xf numFmtId="0" fontId="7" fillId="2" borderId="0" xfId="0" applyFont="1" applyFill="1"/>
    <xf numFmtId="0" fontId="1" fillId="2" borderId="1" xfId="0" applyFont="1" applyFill="1" applyBorder="1" applyAlignment="1">
      <alignment horizontal="center"/>
    </xf>
    <xf numFmtId="0" fontId="1" fillId="2" borderId="1" xfId="0" applyFont="1" applyFill="1" applyBorder="1" applyAlignment="1">
      <alignment horizontal="center"/>
    </xf>
    <xf numFmtId="0" fontId="0" fillId="0" borderId="1" xfId="0" applyNumberFormat="1" applyBorder="1"/>
    <xf numFmtId="164" fontId="0" fillId="3" borderId="8" xfId="0" applyNumberFormat="1" applyFill="1" applyBorder="1"/>
    <xf numFmtId="0" fontId="0" fillId="0" borderId="0" xfId="0" applyFill="1" applyBorder="1" applyAlignment="1">
      <alignment horizontal="center"/>
    </xf>
    <xf numFmtId="0" fontId="1" fillId="0" borderId="0" xfId="0" applyFont="1" applyFill="1" applyBorder="1" applyAlignment="1">
      <alignment horizontal="center"/>
    </xf>
    <xf numFmtId="0" fontId="1" fillId="2" borderId="1" xfId="0" applyFont="1" applyFill="1" applyBorder="1" applyAlignment="1">
      <alignment horizontal="center"/>
    </xf>
    <xf numFmtId="164" fontId="0" fillId="0" borderId="0" xfId="0" applyNumberFormat="1"/>
    <xf numFmtId="0" fontId="1" fillId="2" borderId="8" xfId="0" applyFont="1" applyFill="1" applyBorder="1" applyAlignment="1">
      <alignment horizontal="center"/>
    </xf>
    <xf numFmtId="0" fontId="1" fillId="2" borderId="9" xfId="0" applyFont="1" applyFill="1" applyBorder="1" applyAlignment="1">
      <alignment horizontal="center"/>
    </xf>
    <xf numFmtId="164" fontId="0" fillId="0" borderId="9" xfId="0" applyNumberFormat="1" applyBorder="1"/>
    <xf numFmtId="165" fontId="0" fillId="0" borderId="1" xfId="0" applyNumberFormat="1" applyBorder="1"/>
    <xf numFmtId="166" fontId="0" fillId="0" borderId="1" xfId="0" applyNumberFormat="1" applyBorder="1"/>
    <xf numFmtId="0" fontId="1" fillId="2" borderId="1" xfId="0" applyFont="1" applyFill="1" applyBorder="1" applyAlignment="1">
      <alignment horizontal="center" wrapText="1"/>
    </xf>
    <xf numFmtId="0" fontId="1" fillId="2" borderId="2" xfId="0" applyFont="1" applyFill="1" applyBorder="1" applyAlignment="1">
      <alignment horizontal="center" wrapText="1"/>
    </xf>
    <xf numFmtId="0" fontId="1" fillId="2" borderId="3" xfId="0" applyFont="1" applyFill="1" applyBorder="1" applyAlignment="1">
      <alignment horizontal="center" wrapText="1"/>
    </xf>
    <xf numFmtId="0" fontId="1" fillId="2" borderId="4" xfId="0" applyFont="1" applyFill="1" applyBorder="1" applyAlignment="1">
      <alignment horizontal="center" wrapText="1"/>
    </xf>
    <xf numFmtId="0" fontId="1" fillId="2" borderId="5" xfId="0" applyFont="1" applyFill="1" applyBorder="1" applyAlignment="1">
      <alignment horizontal="center" wrapText="1"/>
    </xf>
    <xf numFmtId="0" fontId="1" fillId="2" borderId="6" xfId="0" applyFont="1" applyFill="1" applyBorder="1" applyAlignment="1">
      <alignment horizontal="center" wrapText="1"/>
    </xf>
    <xf numFmtId="0" fontId="1" fillId="2" borderId="7" xfId="0" applyFont="1" applyFill="1" applyBorder="1" applyAlignment="1">
      <alignment horizontal="center" wrapText="1"/>
    </xf>
    <xf numFmtId="0" fontId="0" fillId="2" borderId="1" xfId="0" applyFill="1" applyBorder="1" applyAlignment="1">
      <alignment horizontal="center"/>
    </xf>
    <xf numFmtId="0" fontId="1" fillId="2" borderId="1" xfId="0" applyFont="1" applyFill="1" applyBorder="1" applyAlignment="1">
      <alignment horizontal="center"/>
    </xf>
    <xf numFmtId="0" fontId="0" fillId="2" borderId="8" xfId="0" applyFill="1" applyBorder="1" applyAlignment="1">
      <alignment horizontal="center"/>
    </xf>
    <xf numFmtId="0" fontId="0" fillId="2" borderId="13" xfId="0" applyFill="1" applyBorder="1" applyAlignment="1">
      <alignment horizontal="center"/>
    </xf>
    <xf numFmtId="0" fontId="0" fillId="2" borderId="9" xfId="0" applyFill="1" applyBorder="1" applyAlignment="1">
      <alignment horizontal="center"/>
    </xf>
    <xf numFmtId="0" fontId="0" fillId="0" borderId="1" xfId="0" applyBorder="1" applyAlignment="1">
      <alignment horizontal="center"/>
    </xf>
    <xf numFmtId="0" fontId="1" fillId="2" borderId="5" xfId="0" applyFont="1" applyFill="1" applyBorder="1" applyAlignment="1">
      <alignment horizontal="center"/>
    </xf>
    <xf numFmtId="0" fontId="1" fillId="2" borderId="6" xfId="0" applyFont="1" applyFill="1" applyBorder="1" applyAlignment="1">
      <alignment horizontal="center"/>
    </xf>
    <xf numFmtId="0" fontId="0" fillId="2" borderId="14" xfId="0" applyFill="1" applyBorder="1" applyAlignment="1">
      <alignment horizontal="center"/>
    </xf>
    <xf numFmtId="0" fontId="0" fillId="2" borderId="0" xfId="0" applyFill="1" applyBorder="1" applyAlignment="1">
      <alignment horizontal="center"/>
    </xf>
    <xf numFmtId="0" fontId="1" fillId="2" borderId="8" xfId="0" applyFont="1" applyFill="1" applyBorder="1" applyAlignment="1">
      <alignment horizontal="center" wrapText="1"/>
    </xf>
    <xf numFmtId="0" fontId="1" fillId="2" borderId="13" xfId="0" applyFont="1" applyFill="1" applyBorder="1" applyAlignment="1">
      <alignment horizontal="center" wrapText="1"/>
    </xf>
    <xf numFmtId="0" fontId="1" fillId="2" borderId="9" xfId="0" applyFont="1" applyFill="1" applyBorder="1" applyAlignment="1">
      <alignment horizontal="center" wrapText="1"/>
    </xf>
    <xf numFmtId="0" fontId="1" fillId="2" borderId="14" xfId="0" applyFont="1" applyFill="1" applyBorder="1" applyAlignment="1">
      <alignment horizontal="center" wrapText="1"/>
    </xf>
    <xf numFmtId="0" fontId="1" fillId="2" borderId="0" xfId="0" applyFont="1" applyFill="1" applyBorder="1" applyAlignment="1">
      <alignment horizontal="center" wrapText="1"/>
    </xf>
    <xf numFmtId="0" fontId="0" fillId="0" borderId="0" xfId="0"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calcChain" Target="calcChain.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100.xml.rels><?xml version="1.0" encoding="UTF-8" standalone="yes"?>
<Relationships xmlns="http://schemas.openxmlformats.org/package/2006/relationships"><Relationship Id="rId1" Type="http://schemas.openxmlformats.org/officeDocument/2006/relationships/chartUserShapes" Target="../drawings/drawing88.xml"/></Relationships>
</file>

<file path=xl/charts/_rels/chart101.xml.rels><?xml version="1.0" encoding="UTF-8" standalone="yes"?>
<Relationships xmlns="http://schemas.openxmlformats.org/package/2006/relationships"><Relationship Id="rId1" Type="http://schemas.openxmlformats.org/officeDocument/2006/relationships/chartUserShapes" Target="../drawings/drawing89.xml"/></Relationships>
</file>

<file path=xl/charts/_rels/chart109.xml.rels><?xml version="1.0" encoding="UTF-8" standalone="yes"?>
<Relationships xmlns="http://schemas.openxmlformats.org/package/2006/relationships"><Relationship Id="rId1" Type="http://schemas.openxmlformats.org/officeDocument/2006/relationships/chartUserShapes" Target="../drawings/drawing94.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110.xml.rels><?xml version="1.0" encoding="UTF-8" standalone="yes"?>
<Relationships xmlns="http://schemas.openxmlformats.org/package/2006/relationships"><Relationship Id="rId1" Type="http://schemas.openxmlformats.org/officeDocument/2006/relationships/chartUserShapes" Target="../drawings/drawing95.xml"/></Relationships>
</file>

<file path=xl/charts/_rels/chart111.xml.rels><?xml version="1.0" encoding="UTF-8" standalone="yes"?>
<Relationships xmlns="http://schemas.openxmlformats.org/package/2006/relationships"><Relationship Id="rId1" Type="http://schemas.openxmlformats.org/officeDocument/2006/relationships/chartUserShapes" Target="../drawings/drawing96.xml"/></Relationships>
</file>

<file path=xl/charts/_rels/chart112.xml.rels><?xml version="1.0" encoding="UTF-8" standalone="yes"?>
<Relationships xmlns="http://schemas.openxmlformats.org/package/2006/relationships"><Relationship Id="rId1" Type="http://schemas.openxmlformats.org/officeDocument/2006/relationships/chartUserShapes" Target="../drawings/drawing97.xml"/></Relationships>
</file>

<file path=xl/charts/_rels/chart113.xml.rels><?xml version="1.0" encoding="UTF-8" standalone="yes"?>
<Relationships xmlns="http://schemas.openxmlformats.org/package/2006/relationships"><Relationship Id="rId1" Type="http://schemas.openxmlformats.org/officeDocument/2006/relationships/chartUserShapes" Target="../drawings/drawing98.xml"/></Relationships>
</file>

<file path=xl/charts/_rels/chart114.xml.rels><?xml version="1.0" encoding="UTF-8" standalone="yes"?>
<Relationships xmlns="http://schemas.openxmlformats.org/package/2006/relationships"><Relationship Id="rId1" Type="http://schemas.openxmlformats.org/officeDocument/2006/relationships/chartUserShapes" Target="../drawings/drawing99.xml"/></Relationships>
</file>

<file path=xl/charts/_rels/chart115.xml.rels><?xml version="1.0" encoding="UTF-8" standalone="yes"?>
<Relationships xmlns="http://schemas.openxmlformats.org/package/2006/relationships"><Relationship Id="rId1" Type="http://schemas.openxmlformats.org/officeDocument/2006/relationships/chartUserShapes" Target="../drawings/drawing100.xml"/></Relationships>
</file>

<file path=xl/charts/_rels/chart116.xml.rels><?xml version="1.0" encoding="UTF-8" standalone="yes"?>
<Relationships xmlns="http://schemas.openxmlformats.org/package/2006/relationships"><Relationship Id="rId1" Type="http://schemas.openxmlformats.org/officeDocument/2006/relationships/chartUserShapes" Target="../drawings/drawing101.xml"/></Relationships>
</file>

<file path=xl/charts/_rels/chart117.xml.rels><?xml version="1.0" encoding="UTF-8" standalone="yes"?>
<Relationships xmlns="http://schemas.openxmlformats.org/package/2006/relationships"><Relationship Id="rId1" Type="http://schemas.openxmlformats.org/officeDocument/2006/relationships/chartUserShapes" Target="../drawings/drawing102.xml"/></Relationships>
</file>

<file path=xl/charts/_rels/chart118.xml.rels><?xml version="1.0" encoding="UTF-8" standalone="yes"?>
<Relationships xmlns="http://schemas.openxmlformats.org/package/2006/relationships"><Relationship Id="rId1" Type="http://schemas.openxmlformats.org/officeDocument/2006/relationships/chartUserShapes" Target="../drawings/drawing103.xml"/></Relationships>
</file>

<file path=xl/charts/_rels/chart119.xml.rels><?xml version="1.0" encoding="UTF-8" standalone="yes"?>
<Relationships xmlns="http://schemas.openxmlformats.org/package/2006/relationships"><Relationship Id="rId1" Type="http://schemas.openxmlformats.org/officeDocument/2006/relationships/chartUserShapes" Target="../drawings/drawing104.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24.xml.rels><?xml version="1.0" encoding="UTF-8" standalone="yes"?>
<Relationships xmlns="http://schemas.openxmlformats.org/package/2006/relationships"><Relationship Id="rId1" Type="http://schemas.openxmlformats.org/officeDocument/2006/relationships/chartUserShapes" Target="../drawings/drawing108.xml"/></Relationships>
</file>

<file path=xl/charts/_rels/chart125.xml.rels><?xml version="1.0" encoding="UTF-8" standalone="yes"?>
<Relationships xmlns="http://schemas.openxmlformats.org/package/2006/relationships"><Relationship Id="rId1" Type="http://schemas.openxmlformats.org/officeDocument/2006/relationships/chartUserShapes" Target="../drawings/drawing109.xml"/></Relationships>
</file>

<file path=xl/charts/_rels/chart126.xml.rels><?xml version="1.0" encoding="UTF-8" standalone="yes"?>
<Relationships xmlns="http://schemas.openxmlformats.org/package/2006/relationships"><Relationship Id="rId1" Type="http://schemas.openxmlformats.org/officeDocument/2006/relationships/chartUserShapes" Target="../drawings/drawing110.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39.xml.rels><?xml version="1.0" encoding="UTF-8" standalone="yes"?>
<Relationships xmlns="http://schemas.openxmlformats.org/package/2006/relationships"><Relationship Id="rId1" Type="http://schemas.openxmlformats.org/officeDocument/2006/relationships/chartUserShapes" Target="../drawings/drawing114.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140.xml.rels><?xml version="1.0" encoding="UTF-8" standalone="yes"?>
<Relationships xmlns="http://schemas.openxmlformats.org/package/2006/relationships"><Relationship Id="rId1" Type="http://schemas.openxmlformats.org/officeDocument/2006/relationships/chartUserShapes" Target="../drawings/drawing115.xml"/></Relationships>
</file>

<file path=xl/charts/_rels/chart141.xml.rels><?xml version="1.0" encoding="UTF-8" standalone="yes"?>
<Relationships xmlns="http://schemas.openxmlformats.org/package/2006/relationships"><Relationship Id="rId1" Type="http://schemas.openxmlformats.org/officeDocument/2006/relationships/chartUserShapes" Target="../drawings/drawing116.xml"/></Relationships>
</file>

<file path=xl/charts/_rels/chart142.xml.rels><?xml version="1.0" encoding="UTF-8" standalone="yes"?>
<Relationships xmlns="http://schemas.openxmlformats.org/package/2006/relationships"><Relationship Id="rId1" Type="http://schemas.openxmlformats.org/officeDocument/2006/relationships/chartUserShapes" Target="../drawings/drawing117.xml"/></Relationships>
</file>

<file path=xl/charts/_rels/chart149.xml.rels><?xml version="1.0" encoding="UTF-8" standalone="yes"?>
<Relationships xmlns="http://schemas.openxmlformats.org/package/2006/relationships"><Relationship Id="rId1" Type="http://schemas.openxmlformats.org/officeDocument/2006/relationships/chartUserShapes" Target="../drawings/drawing121.xml"/></Relationships>
</file>

<file path=xl/charts/_rels/chart15.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150.xml.rels><?xml version="1.0" encoding="UTF-8" standalone="yes"?>
<Relationships xmlns="http://schemas.openxmlformats.org/package/2006/relationships"><Relationship Id="rId1" Type="http://schemas.openxmlformats.org/officeDocument/2006/relationships/chartUserShapes" Target="../drawings/drawing122.xml"/></Relationships>
</file>

<file path=xl/charts/_rels/chart157.xml.rels><?xml version="1.0" encoding="UTF-8" standalone="yes"?>
<Relationships xmlns="http://schemas.openxmlformats.org/package/2006/relationships"><Relationship Id="rId1" Type="http://schemas.openxmlformats.org/officeDocument/2006/relationships/chartUserShapes" Target="../drawings/drawing129.xml"/></Relationships>
</file>

<file path=xl/charts/_rels/chart16.xml.rels><?xml version="1.0" encoding="UTF-8" standalone="yes"?>
<Relationships xmlns="http://schemas.openxmlformats.org/package/2006/relationships"><Relationship Id="rId1" Type="http://schemas.openxmlformats.org/officeDocument/2006/relationships/chartUserShapes" Target="../drawings/drawing15.xml"/></Relationships>
</file>

<file path=xl/charts/_rels/chart163.xml.rels><?xml version="1.0" encoding="UTF-8" standalone="yes"?>
<Relationships xmlns="http://schemas.openxmlformats.org/package/2006/relationships"><Relationship Id="rId1" Type="http://schemas.openxmlformats.org/officeDocument/2006/relationships/chartUserShapes" Target="../drawings/drawing133.xml"/></Relationships>
</file>

<file path=xl/charts/_rels/chart164.xml.rels><?xml version="1.0" encoding="UTF-8" standalone="yes"?>
<Relationships xmlns="http://schemas.openxmlformats.org/package/2006/relationships"><Relationship Id="rId1" Type="http://schemas.openxmlformats.org/officeDocument/2006/relationships/chartUserShapes" Target="../drawings/drawing134.xml"/></Relationships>
</file>

<file path=xl/charts/_rels/chart165.xml.rels><?xml version="1.0" encoding="UTF-8" standalone="yes"?>
<Relationships xmlns="http://schemas.openxmlformats.org/package/2006/relationships"><Relationship Id="rId1" Type="http://schemas.openxmlformats.org/officeDocument/2006/relationships/chartUserShapes" Target="../drawings/drawing135.xml"/></Relationships>
</file>

<file path=xl/charts/_rels/chart166.xml.rels><?xml version="1.0" encoding="UTF-8" standalone="yes"?>
<Relationships xmlns="http://schemas.openxmlformats.org/package/2006/relationships"><Relationship Id="rId1" Type="http://schemas.openxmlformats.org/officeDocument/2006/relationships/chartUserShapes" Target="../drawings/drawing136.xml"/></Relationships>
</file>

<file path=xl/charts/_rels/chart167.xml.rels><?xml version="1.0" encoding="UTF-8" standalone="yes"?>
<Relationships xmlns="http://schemas.openxmlformats.org/package/2006/relationships"><Relationship Id="rId1" Type="http://schemas.openxmlformats.org/officeDocument/2006/relationships/chartUserShapes" Target="../drawings/drawing137.xml"/></Relationships>
</file>

<file path=xl/charts/_rels/chart23.xml.rels><?xml version="1.0" encoding="UTF-8" standalone="yes"?>
<Relationships xmlns="http://schemas.openxmlformats.org/package/2006/relationships"><Relationship Id="rId1" Type="http://schemas.openxmlformats.org/officeDocument/2006/relationships/chartUserShapes" Target="../drawings/drawing20.xml"/></Relationships>
</file>

<file path=xl/charts/_rels/chart24.xml.rels><?xml version="1.0" encoding="UTF-8" standalone="yes"?>
<Relationships xmlns="http://schemas.openxmlformats.org/package/2006/relationships"><Relationship Id="rId1" Type="http://schemas.openxmlformats.org/officeDocument/2006/relationships/chartUserShapes" Target="../drawings/drawing21.xml"/></Relationships>
</file>

<file path=xl/charts/_rels/chart25.xml.rels><?xml version="1.0" encoding="UTF-8" standalone="yes"?>
<Relationships xmlns="http://schemas.openxmlformats.org/package/2006/relationships"><Relationship Id="rId1" Type="http://schemas.openxmlformats.org/officeDocument/2006/relationships/chartUserShapes" Target="../drawings/drawing22.xml"/></Relationships>
</file>

<file path=xl/charts/_rels/chart26.xml.rels><?xml version="1.0" encoding="UTF-8" standalone="yes"?>
<Relationships xmlns="http://schemas.openxmlformats.org/package/2006/relationships"><Relationship Id="rId1" Type="http://schemas.openxmlformats.org/officeDocument/2006/relationships/chartUserShapes" Target="../drawings/drawing23.xml"/></Relationships>
</file>

<file path=xl/charts/_rels/chart27.xml.rels><?xml version="1.0" encoding="UTF-8" standalone="yes"?>
<Relationships xmlns="http://schemas.openxmlformats.org/package/2006/relationships"><Relationship Id="rId1" Type="http://schemas.openxmlformats.org/officeDocument/2006/relationships/chartUserShapes" Target="../drawings/drawing24.xml"/></Relationships>
</file>

<file path=xl/charts/_rels/chart28.xml.rels><?xml version="1.0" encoding="UTF-8" standalone="yes"?>
<Relationships xmlns="http://schemas.openxmlformats.org/package/2006/relationships"><Relationship Id="rId1" Type="http://schemas.openxmlformats.org/officeDocument/2006/relationships/chartUserShapes" Target="../drawings/drawing25.xml"/></Relationships>
</file>

<file path=xl/charts/_rels/chart29.xml.rels><?xml version="1.0" encoding="UTF-8" standalone="yes"?>
<Relationships xmlns="http://schemas.openxmlformats.org/package/2006/relationships"><Relationship Id="rId1" Type="http://schemas.openxmlformats.org/officeDocument/2006/relationships/chartUserShapes" Target="../drawings/drawing26.xml"/></Relationships>
</file>

<file path=xl/charts/_rels/chart30.xml.rels><?xml version="1.0" encoding="UTF-8" standalone="yes"?>
<Relationships xmlns="http://schemas.openxmlformats.org/package/2006/relationships"><Relationship Id="rId1" Type="http://schemas.openxmlformats.org/officeDocument/2006/relationships/chartUserShapes" Target="../drawings/drawing27.xml"/></Relationships>
</file>

<file path=xl/charts/_rels/chart31.xml.rels><?xml version="1.0" encoding="UTF-8" standalone="yes"?>
<Relationships xmlns="http://schemas.openxmlformats.org/package/2006/relationships"><Relationship Id="rId1" Type="http://schemas.openxmlformats.org/officeDocument/2006/relationships/chartUserShapes" Target="../drawings/drawing28.xml"/></Relationships>
</file>

<file path=xl/charts/_rels/chart32.xml.rels><?xml version="1.0" encoding="UTF-8" standalone="yes"?>
<Relationships xmlns="http://schemas.openxmlformats.org/package/2006/relationships"><Relationship Id="rId1" Type="http://schemas.openxmlformats.org/officeDocument/2006/relationships/chartUserShapes" Target="../drawings/drawing29.xml"/></Relationships>
</file>

<file path=xl/charts/_rels/chart39.xml.rels><?xml version="1.0" encoding="UTF-8" standalone="yes"?>
<Relationships xmlns="http://schemas.openxmlformats.org/package/2006/relationships"><Relationship Id="rId1" Type="http://schemas.openxmlformats.org/officeDocument/2006/relationships/chartUserShapes" Target="../drawings/drawing34.xml"/></Relationships>
</file>

<file path=xl/charts/_rels/chart40.xml.rels><?xml version="1.0" encoding="UTF-8" standalone="yes"?>
<Relationships xmlns="http://schemas.openxmlformats.org/package/2006/relationships"><Relationship Id="rId1" Type="http://schemas.openxmlformats.org/officeDocument/2006/relationships/chartUserShapes" Target="../drawings/drawing35.xml"/></Relationships>
</file>

<file path=xl/charts/_rels/chart41.xml.rels><?xml version="1.0" encoding="UTF-8" standalone="yes"?>
<Relationships xmlns="http://schemas.openxmlformats.org/package/2006/relationships"><Relationship Id="rId1" Type="http://schemas.openxmlformats.org/officeDocument/2006/relationships/chartUserShapes" Target="../drawings/drawing36.xml"/></Relationships>
</file>

<file path=xl/charts/_rels/chart42.xml.rels><?xml version="1.0" encoding="UTF-8" standalone="yes"?>
<Relationships xmlns="http://schemas.openxmlformats.org/package/2006/relationships"><Relationship Id="rId1" Type="http://schemas.openxmlformats.org/officeDocument/2006/relationships/chartUserShapes" Target="../drawings/drawing37.xml"/></Relationships>
</file>

<file path=xl/charts/_rels/chart43.xml.rels><?xml version="1.0" encoding="UTF-8" standalone="yes"?>
<Relationships xmlns="http://schemas.openxmlformats.org/package/2006/relationships"><Relationship Id="rId1" Type="http://schemas.openxmlformats.org/officeDocument/2006/relationships/chartUserShapes" Target="../drawings/drawing38.xml"/></Relationships>
</file>

<file path=xl/charts/_rels/chart44.xml.rels><?xml version="1.0" encoding="UTF-8" standalone="yes"?>
<Relationships xmlns="http://schemas.openxmlformats.org/package/2006/relationships"><Relationship Id="rId1" Type="http://schemas.openxmlformats.org/officeDocument/2006/relationships/chartUserShapes" Target="../drawings/drawing39.xml"/></Relationships>
</file>

<file path=xl/charts/_rels/chart45.xml.rels><?xml version="1.0" encoding="UTF-8" standalone="yes"?>
<Relationships xmlns="http://schemas.openxmlformats.org/package/2006/relationships"><Relationship Id="rId1" Type="http://schemas.openxmlformats.org/officeDocument/2006/relationships/chartUserShapes" Target="../drawings/drawing40.xml"/></Relationships>
</file>

<file path=xl/charts/_rels/chart46.xml.rels><?xml version="1.0" encoding="UTF-8" standalone="yes"?>
<Relationships xmlns="http://schemas.openxmlformats.org/package/2006/relationships"><Relationship Id="rId1" Type="http://schemas.openxmlformats.org/officeDocument/2006/relationships/chartUserShapes" Target="../drawings/drawing41.xml"/></Relationships>
</file>

<file path=xl/charts/_rels/chart47.xml.rels><?xml version="1.0" encoding="UTF-8" standalone="yes"?>
<Relationships xmlns="http://schemas.openxmlformats.org/package/2006/relationships"><Relationship Id="rId1" Type="http://schemas.openxmlformats.org/officeDocument/2006/relationships/chartUserShapes" Target="../drawings/drawing42.xml"/></Relationships>
</file>

<file path=xl/charts/_rels/chart48.xml.rels><?xml version="1.0" encoding="UTF-8" standalone="yes"?>
<Relationships xmlns="http://schemas.openxmlformats.org/package/2006/relationships"><Relationship Id="rId1" Type="http://schemas.openxmlformats.org/officeDocument/2006/relationships/chartUserShapes" Target="../drawings/drawing43.xml"/></Relationships>
</file>

<file path=xl/charts/_rels/chart49.xml.rels><?xml version="1.0" encoding="UTF-8" standalone="yes"?>
<Relationships xmlns="http://schemas.openxmlformats.org/package/2006/relationships"><Relationship Id="rId1" Type="http://schemas.openxmlformats.org/officeDocument/2006/relationships/chartUserShapes" Target="../drawings/drawing44.xml"/></Relationships>
</file>

<file path=xl/charts/_rels/chart50.xml.rels><?xml version="1.0" encoding="UTF-8" standalone="yes"?>
<Relationships xmlns="http://schemas.openxmlformats.org/package/2006/relationships"><Relationship Id="rId1" Type="http://schemas.openxmlformats.org/officeDocument/2006/relationships/chartUserShapes" Target="../drawings/drawing45.xml"/></Relationships>
</file>

<file path=xl/charts/_rels/chart51.xml.rels><?xml version="1.0" encoding="UTF-8" standalone="yes"?>
<Relationships xmlns="http://schemas.openxmlformats.org/package/2006/relationships"><Relationship Id="rId1" Type="http://schemas.openxmlformats.org/officeDocument/2006/relationships/chartUserShapes" Target="../drawings/drawing46.xml"/></Relationships>
</file>

<file path=xl/charts/_rels/chart52.xml.rels><?xml version="1.0" encoding="UTF-8" standalone="yes"?>
<Relationships xmlns="http://schemas.openxmlformats.org/package/2006/relationships"><Relationship Id="rId1" Type="http://schemas.openxmlformats.org/officeDocument/2006/relationships/chartUserShapes" Target="../drawings/drawing47.xml"/></Relationships>
</file>

<file path=xl/charts/_rels/chart53.xml.rels><?xml version="1.0" encoding="UTF-8" standalone="yes"?>
<Relationships xmlns="http://schemas.openxmlformats.org/package/2006/relationships"><Relationship Id="rId1" Type="http://schemas.openxmlformats.org/officeDocument/2006/relationships/chartUserShapes" Target="../drawings/drawing48.xml"/></Relationships>
</file>

<file path=xl/charts/_rels/chart54.xml.rels><?xml version="1.0" encoding="UTF-8" standalone="yes"?>
<Relationships xmlns="http://schemas.openxmlformats.org/package/2006/relationships"><Relationship Id="rId1" Type="http://schemas.openxmlformats.org/officeDocument/2006/relationships/chartUserShapes" Target="../drawings/drawing49.xml"/></Relationships>
</file>

<file path=xl/charts/_rels/chart62.xml.rels><?xml version="1.0" encoding="UTF-8" standalone="yes"?>
<Relationships xmlns="http://schemas.openxmlformats.org/package/2006/relationships"><Relationship Id="rId1" Type="http://schemas.openxmlformats.org/officeDocument/2006/relationships/chartUserShapes" Target="../drawings/drawing54.xml"/></Relationships>
</file>

<file path=xl/charts/_rels/chart63.xml.rels><?xml version="1.0" encoding="UTF-8" standalone="yes"?>
<Relationships xmlns="http://schemas.openxmlformats.org/package/2006/relationships"><Relationship Id="rId1" Type="http://schemas.openxmlformats.org/officeDocument/2006/relationships/chartUserShapes" Target="../drawings/drawing55.xml"/></Relationships>
</file>

<file path=xl/charts/_rels/chart64.xml.rels><?xml version="1.0" encoding="UTF-8" standalone="yes"?>
<Relationships xmlns="http://schemas.openxmlformats.org/package/2006/relationships"><Relationship Id="rId1" Type="http://schemas.openxmlformats.org/officeDocument/2006/relationships/chartUserShapes" Target="../drawings/drawing56.xml"/></Relationships>
</file>

<file path=xl/charts/_rels/chart65.xml.rels><?xml version="1.0" encoding="UTF-8" standalone="yes"?>
<Relationships xmlns="http://schemas.openxmlformats.org/package/2006/relationships"><Relationship Id="rId1" Type="http://schemas.openxmlformats.org/officeDocument/2006/relationships/chartUserShapes" Target="../drawings/drawing57.xml"/></Relationships>
</file>

<file path=xl/charts/_rels/chart66.xml.rels><?xml version="1.0" encoding="UTF-8" standalone="yes"?>
<Relationships xmlns="http://schemas.openxmlformats.org/package/2006/relationships"><Relationship Id="rId1" Type="http://schemas.openxmlformats.org/officeDocument/2006/relationships/chartUserShapes" Target="../drawings/drawing58.xml"/></Relationships>
</file>

<file path=xl/charts/_rels/chart67.xml.rels><?xml version="1.0" encoding="UTF-8" standalone="yes"?>
<Relationships xmlns="http://schemas.openxmlformats.org/package/2006/relationships"><Relationship Id="rId1" Type="http://schemas.openxmlformats.org/officeDocument/2006/relationships/chartUserShapes" Target="../drawings/drawing59.xml"/></Relationships>
</file>

<file path=xl/charts/_rels/chart68.xml.rels><?xml version="1.0" encoding="UTF-8" standalone="yes"?>
<Relationships xmlns="http://schemas.openxmlformats.org/package/2006/relationships"><Relationship Id="rId1" Type="http://schemas.openxmlformats.org/officeDocument/2006/relationships/chartUserShapes" Target="../drawings/drawing60.xml"/></Relationships>
</file>

<file path=xl/charts/_rels/chart69.xml.rels><?xml version="1.0" encoding="UTF-8" standalone="yes"?>
<Relationships xmlns="http://schemas.openxmlformats.org/package/2006/relationships"><Relationship Id="rId1" Type="http://schemas.openxmlformats.org/officeDocument/2006/relationships/chartUserShapes" Target="../drawings/drawing61.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70.xml.rels><?xml version="1.0" encoding="UTF-8" standalone="yes"?>
<Relationships xmlns="http://schemas.openxmlformats.org/package/2006/relationships"><Relationship Id="rId1" Type="http://schemas.openxmlformats.org/officeDocument/2006/relationships/chartUserShapes" Target="../drawings/drawing62.xml"/></Relationships>
</file>

<file path=xl/charts/_rels/chart71.xml.rels><?xml version="1.0" encoding="UTF-8" standalone="yes"?>
<Relationships xmlns="http://schemas.openxmlformats.org/package/2006/relationships"><Relationship Id="rId1" Type="http://schemas.openxmlformats.org/officeDocument/2006/relationships/chartUserShapes" Target="../drawings/drawing63.xml"/></Relationships>
</file>

<file path=xl/charts/_rels/chart72.xml.rels><?xml version="1.0" encoding="UTF-8" standalone="yes"?>
<Relationships xmlns="http://schemas.openxmlformats.org/package/2006/relationships"><Relationship Id="rId1" Type="http://schemas.openxmlformats.org/officeDocument/2006/relationships/chartUserShapes" Target="../drawings/drawing64.xml"/></Relationships>
</file>

<file path=xl/charts/_rels/chart73.xml.rels><?xml version="1.0" encoding="UTF-8" standalone="yes"?>
<Relationships xmlns="http://schemas.openxmlformats.org/package/2006/relationships"><Relationship Id="rId1" Type="http://schemas.openxmlformats.org/officeDocument/2006/relationships/chartUserShapes" Target="../drawings/drawing65.xml"/></Relationships>
</file>

<file path=xl/charts/_rels/chart74.xml.rels><?xml version="1.0" encoding="UTF-8" standalone="yes"?>
<Relationships xmlns="http://schemas.openxmlformats.org/package/2006/relationships"><Relationship Id="rId1" Type="http://schemas.openxmlformats.org/officeDocument/2006/relationships/chartUserShapes" Target="../drawings/drawing66.xml"/></Relationships>
</file>

<file path=xl/charts/_rels/chart75.xml.rels><?xml version="1.0" encoding="UTF-8" standalone="yes"?>
<Relationships xmlns="http://schemas.openxmlformats.org/package/2006/relationships"><Relationship Id="rId1" Type="http://schemas.openxmlformats.org/officeDocument/2006/relationships/chartUserShapes" Target="../drawings/drawing67.xml"/></Relationships>
</file>

<file path=xl/charts/_rels/chart76.xml.rels><?xml version="1.0" encoding="UTF-8" standalone="yes"?>
<Relationships xmlns="http://schemas.openxmlformats.org/package/2006/relationships"><Relationship Id="rId1" Type="http://schemas.openxmlformats.org/officeDocument/2006/relationships/chartUserShapes" Target="../drawings/drawing68.xml"/></Relationships>
</file>

<file path=xl/charts/_rels/chart77.xml.rels><?xml version="1.0" encoding="UTF-8" standalone="yes"?>
<Relationships xmlns="http://schemas.openxmlformats.org/package/2006/relationships"><Relationship Id="rId1" Type="http://schemas.openxmlformats.org/officeDocument/2006/relationships/chartUserShapes" Target="../drawings/drawing69.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86.xml.rels><?xml version="1.0" encoding="UTF-8" standalone="yes"?>
<Relationships xmlns="http://schemas.openxmlformats.org/package/2006/relationships"><Relationship Id="rId1" Type="http://schemas.openxmlformats.org/officeDocument/2006/relationships/chartUserShapes" Target="../drawings/drawing74.xml"/></Relationships>
</file>

<file path=xl/charts/_rels/chart87.xml.rels><?xml version="1.0" encoding="UTF-8" standalone="yes"?>
<Relationships xmlns="http://schemas.openxmlformats.org/package/2006/relationships"><Relationship Id="rId1" Type="http://schemas.openxmlformats.org/officeDocument/2006/relationships/chartUserShapes" Target="../drawings/drawing75.xml"/></Relationships>
</file>

<file path=xl/charts/_rels/chart88.xml.rels><?xml version="1.0" encoding="UTF-8" standalone="yes"?>
<Relationships xmlns="http://schemas.openxmlformats.org/package/2006/relationships"><Relationship Id="rId1" Type="http://schemas.openxmlformats.org/officeDocument/2006/relationships/chartUserShapes" Target="../drawings/drawing76.xml"/></Relationships>
</file>

<file path=xl/charts/_rels/chart89.xml.rels><?xml version="1.0" encoding="UTF-8" standalone="yes"?>
<Relationships xmlns="http://schemas.openxmlformats.org/package/2006/relationships"><Relationship Id="rId1" Type="http://schemas.openxmlformats.org/officeDocument/2006/relationships/chartUserShapes" Target="../drawings/drawing77.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90.xml.rels><?xml version="1.0" encoding="UTF-8" standalone="yes"?>
<Relationships xmlns="http://schemas.openxmlformats.org/package/2006/relationships"><Relationship Id="rId1" Type="http://schemas.openxmlformats.org/officeDocument/2006/relationships/chartUserShapes" Target="../drawings/drawing78.xml"/></Relationships>
</file>

<file path=xl/charts/_rels/chart91.xml.rels><?xml version="1.0" encoding="UTF-8" standalone="yes"?>
<Relationships xmlns="http://schemas.openxmlformats.org/package/2006/relationships"><Relationship Id="rId1" Type="http://schemas.openxmlformats.org/officeDocument/2006/relationships/chartUserShapes" Target="../drawings/drawing79.xml"/></Relationships>
</file>

<file path=xl/charts/_rels/chart92.xml.rels><?xml version="1.0" encoding="UTF-8" standalone="yes"?>
<Relationships xmlns="http://schemas.openxmlformats.org/package/2006/relationships"><Relationship Id="rId1" Type="http://schemas.openxmlformats.org/officeDocument/2006/relationships/chartUserShapes" Target="../drawings/drawing80.xml"/></Relationships>
</file>

<file path=xl/charts/_rels/chart93.xml.rels><?xml version="1.0" encoding="UTF-8" standalone="yes"?>
<Relationships xmlns="http://schemas.openxmlformats.org/package/2006/relationships"><Relationship Id="rId1" Type="http://schemas.openxmlformats.org/officeDocument/2006/relationships/chartUserShapes" Target="../drawings/drawing81.xml"/></Relationships>
</file>

<file path=xl/charts/_rels/chart94.xml.rels><?xml version="1.0" encoding="UTF-8" standalone="yes"?>
<Relationships xmlns="http://schemas.openxmlformats.org/package/2006/relationships"><Relationship Id="rId1" Type="http://schemas.openxmlformats.org/officeDocument/2006/relationships/chartUserShapes" Target="../drawings/drawing82.xml"/></Relationships>
</file>

<file path=xl/charts/_rels/chart95.xml.rels><?xml version="1.0" encoding="UTF-8" standalone="yes"?>
<Relationships xmlns="http://schemas.openxmlformats.org/package/2006/relationships"><Relationship Id="rId1" Type="http://schemas.openxmlformats.org/officeDocument/2006/relationships/chartUserShapes" Target="../drawings/drawing83.xml"/></Relationships>
</file>

<file path=xl/charts/_rels/chart96.xml.rels><?xml version="1.0" encoding="UTF-8" standalone="yes"?>
<Relationships xmlns="http://schemas.openxmlformats.org/package/2006/relationships"><Relationship Id="rId1" Type="http://schemas.openxmlformats.org/officeDocument/2006/relationships/chartUserShapes" Target="../drawings/drawing84.xml"/></Relationships>
</file>

<file path=xl/charts/_rels/chart97.xml.rels><?xml version="1.0" encoding="UTF-8" standalone="yes"?>
<Relationships xmlns="http://schemas.openxmlformats.org/package/2006/relationships"><Relationship Id="rId1" Type="http://schemas.openxmlformats.org/officeDocument/2006/relationships/chartUserShapes" Target="../drawings/drawing85.xml"/></Relationships>
</file>

<file path=xl/charts/_rels/chart98.xml.rels><?xml version="1.0" encoding="UTF-8" standalone="yes"?>
<Relationships xmlns="http://schemas.openxmlformats.org/package/2006/relationships"><Relationship Id="rId1" Type="http://schemas.openxmlformats.org/officeDocument/2006/relationships/chartUserShapes" Target="../drawings/drawing86.xml"/></Relationships>
</file>

<file path=xl/charts/_rels/chart99.xml.rels><?xml version="1.0" encoding="UTF-8" standalone="yes"?>
<Relationships xmlns="http://schemas.openxmlformats.org/package/2006/relationships"><Relationship Id="rId1" Type="http://schemas.openxmlformats.org/officeDocument/2006/relationships/chartUserShapes" Target="../drawings/drawing87.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Total de avarias por dia - 2015</c:v>
          </c:tx>
          <c:invertIfNegative val="0"/>
          <c:dLbls>
            <c:numFmt formatCode="#,##0;\-#,##0" sourceLinked="0"/>
            <c:txPr>
              <a:bodyPr/>
              <a:lstStyle/>
              <a:p>
                <a:pPr>
                  <a:defRPr b="1"/>
                </a:pPr>
                <a:endParaRPr lang="pt-PT"/>
              </a:p>
            </c:txPr>
            <c:showLegendKey val="0"/>
            <c:showVal val="1"/>
            <c:showCatName val="0"/>
            <c:showSerName val="0"/>
            <c:showPercent val="0"/>
            <c:showBubbleSize val="0"/>
            <c:showLeaderLines val="0"/>
          </c:dLbls>
          <c:cat>
            <c:numRef>
              <c:f>'2015 - Gráficos'!$B$6:$B$24</c:f>
              <c:numCache>
                <c:formatCode>General</c:formatCode>
                <c:ptCount val="19"/>
                <c:pt idx="0">
                  <c:v>5</c:v>
                </c:pt>
                <c:pt idx="1">
                  <c:v>28</c:v>
                </c:pt>
                <c:pt idx="2">
                  <c:v>28</c:v>
                </c:pt>
                <c:pt idx="3">
                  <c:v>40</c:v>
                </c:pt>
                <c:pt idx="4">
                  <c:v>65</c:v>
                </c:pt>
                <c:pt idx="5">
                  <c:v>80</c:v>
                </c:pt>
                <c:pt idx="6">
                  <c:v>90</c:v>
                </c:pt>
                <c:pt idx="7">
                  <c:v>124</c:v>
                </c:pt>
                <c:pt idx="8">
                  <c:v>159</c:v>
                </c:pt>
                <c:pt idx="9">
                  <c:v>194</c:v>
                </c:pt>
                <c:pt idx="10">
                  <c:v>199</c:v>
                </c:pt>
                <c:pt idx="11">
                  <c:v>210</c:v>
                </c:pt>
                <c:pt idx="12">
                  <c:v>214</c:v>
                </c:pt>
                <c:pt idx="13">
                  <c:v>240</c:v>
                </c:pt>
                <c:pt idx="14">
                  <c:v>319</c:v>
                </c:pt>
                <c:pt idx="15">
                  <c:v>323</c:v>
                </c:pt>
                <c:pt idx="16">
                  <c:v>333</c:v>
                </c:pt>
              </c:numCache>
            </c:numRef>
          </c:cat>
          <c:val>
            <c:numRef>
              <c:f>'2015 - Gráficos'!$C$6:$C$24</c:f>
              <c:numCache>
                <c:formatCode>0</c:formatCode>
                <c:ptCount val="19"/>
                <c:pt idx="0">
                  <c:v>2</c:v>
                </c:pt>
                <c:pt idx="1">
                  <c:v>1</c:v>
                </c:pt>
                <c:pt idx="2">
                  <c:v>2</c:v>
                </c:pt>
                <c:pt idx="3">
                  <c:v>1</c:v>
                </c:pt>
                <c:pt idx="4">
                  <c:v>1</c:v>
                </c:pt>
                <c:pt idx="5">
                  <c:v>1</c:v>
                </c:pt>
                <c:pt idx="6">
                  <c:v>1</c:v>
                </c:pt>
                <c:pt idx="7">
                  <c:v>1</c:v>
                </c:pt>
                <c:pt idx="8">
                  <c:v>1</c:v>
                </c:pt>
                <c:pt idx="9">
                  <c:v>1</c:v>
                </c:pt>
                <c:pt idx="10">
                  <c:v>1</c:v>
                </c:pt>
                <c:pt idx="11">
                  <c:v>1</c:v>
                </c:pt>
                <c:pt idx="12">
                  <c:v>2</c:v>
                </c:pt>
                <c:pt idx="13">
                  <c:v>3</c:v>
                </c:pt>
                <c:pt idx="14">
                  <c:v>1</c:v>
                </c:pt>
                <c:pt idx="15">
                  <c:v>1</c:v>
                </c:pt>
                <c:pt idx="16">
                  <c:v>1</c:v>
                </c:pt>
              </c:numCache>
            </c:numRef>
          </c:val>
        </c:ser>
        <c:dLbls>
          <c:showLegendKey val="0"/>
          <c:showVal val="0"/>
          <c:showCatName val="0"/>
          <c:showSerName val="0"/>
          <c:showPercent val="0"/>
          <c:showBubbleSize val="0"/>
        </c:dLbls>
        <c:gapWidth val="300"/>
        <c:axId val="104797312"/>
        <c:axId val="104799232"/>
      </c:barChart>
      <c:catAx>
        <c:axId val="104797312"/>
        <c:scaling>
          <c:orientation val="minMax"/>
        </c:scaling>
        <c:delete val="0"/>
        <c:axPos val="b"/>
        <c:title>
          <c:tx>
            <c:rich>
              <a:bodyPr/>
              <a:lstStyle/>
              <a:p>
                <a:pPr>
                  <a:defRPr/>
                </a:pPr>
                <a:r>
                  <a:rPr lang="pt-PT"/>
                  <a:t>Numero</a:t>
                </a:r>
                <a:r>
                  <a:rPr lang="pt-PT" baseline="0"/>
                  <a:t> de dias/ano</a:t>
                </a:r>
                <a:endParaRPr lang="pt-PT"/>
              </a:p>
            </c:rich>
          </c:tx>
          <c:layout/>
          <c:overlay val="0"/>
        </c:title>
        <c:numFmt formatCode="General" sourceLinked="1"/>
        <c:majorTickMark val="none"/>
        <c:minorTickMark val="none"/>
        <c:tickLblPos val="nextTo"/>
        <c:txPr>
          <a:bodyPr rot="-5400000" vert="horz"/>
          <a:lstStyle/>
          <a:p>
            <a:pPr>
              <a:defRPr/>
            </a:pPr>
            <a:endParaRPr lang="pt-PT"/>
          </a:p>
        </c:txPr>
        <c:crossAx val="104799232"/>
        <c:crosses val="autoZero"/>
        <c:auto val="1"/>
        <c:lblAlgn val="ctr"/>
        <c:lblOffset val="100"/>
        <c:noMultiLvlLbl val="0"/>
      </c:catAx>
      <c:valAx>
        <c:axId val="104799232"/>
        <c:scaling>
          <c:orientation val="minMax"/>
        </c:scaling>
        <c:delete val="0"/>
        <c:axPos val="l"/>
        <c:majorGridlines/>
        <c:minorGridlines/>
        <c:title>
          <c:tx>
            <c:rich>
              <a:bodyPr/>
              <a:lstStyle/>
              <a:p>
                <a:pPr>
                  <a:defRPr/>
                </a:pPr>
                <a:r>
                  <a:rPr lang="pt-PT"/>
                  <a:t>Total</a:t>
                </a:r>
                <a:r>
                  <a:rPr lang="pt-PT" baseline="0"/>
                  <a:t> de avarias</a:t>
                </a:r>
                <a:endParaRPr lang="pt-PT"/>
              </a:p>
            </c:rich>
          </c:tx>
          <c:layout/>
          <c:overlay val="0"/>
        </c:title>
        <c:numFmt formatCode="0" sourceLinked="1"/>
        <c:majorTickMark val="out"/>
        <c:minorTickMark val="none"/>
        <c:tickLblPos val="nextTo"/>
        <c:crossAx val="104797312"/>
        <c:crosses val="autoZero"/>
        <c:crossBetween val="between"/>
      </c:valAx>
    </c:plotArea>
    <c:legend>
      <c:legendPos val="r"/>
      <c:layout/>
      <c:overlay val="0"/>
    </c:legend>
    <c:plotVisOnly val="1"/>
    <c:dispBlanksAs val="gap"/>
    <c:showDLblsOverMax val="0"/>
  </c:chart>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42"/>
    </mc:Choice>
    <mc:Fallback>
      <c:style val="42"/>
    </mc:Fallback>
  </mc:AlternateContent>
  <c:chart>
    <c:title>
      <c:tx>
        <c:rich>
          <a:bodyPr/>
          <a:lstStyle/>
          <a:p>
            <a:pPr>
              <a:defRPr/>
            </a:pPr>
            <a:r>
              <a:rPr lang="en-US"/>
              <a:t>Incinerador 2 - Precipitador</a:t>
            </a:r>
          </a:p>
        </c:rich>
      </c:tx>
      <c:layout/>
      <c:overlay val="0"/>
    </c:title>
    <c:autoTitleDeleted val="0"/>
    <c:plotArea>
      <c:layout>
        <c:manualLayout>
          <c:layoutTarget val="inner"/>
          <c:xMode val="edge"/>
          <c:yMode val="edge"/>
          <c:x val="2.4691358024691357E-2"/>
          <c:y val="0.32444484748597435"/>
          <c:w val="0.95286195286195285"/>
          <c:h val="0.55961308824621336"/>
        </c:manualLayout>
      </c:layout>
      <c:barChart>
        <c:barDir val="bar"/>
        <c:grouping val="stacked"/>
        <c:varyColors val="0"/>
        <c:ser>
          <c:idx val="0"/>
          <c:order val="0"/>
          <c:invertIfNegative val="0"/>
          <c:dLbls>
            <c:showLegendKey val="0"/>
            <c:showVal val="1"/>
            <c:showCatName val="0"/>
            <c:showSerName val="0"/>
            <c:showPercent val="0"/>
            <c:showBubbleSize val="0"/>
            <c:showLeaderLines val="0"/>
          </c:dLbls>
          <c:val>
            <c:numRef>
              <c:f>'2015 - Ciclo de Operação'!$B$18</c:f>
              <c:numCache>
                <c:formatCode>General</c:formatCode>
                <c:ptCount val="1"/>
                <c:pt idx="0">
                  <c:v>120</c:v>
                </c:pt>
              </c:numCache>
            </c:numRef>
          </c:val>
        </c:ser>
        <c:ser>
          <c:idx val="1"/>
          <c:order val="1"/>
          <c:invertIfNegative val="0"/>
          <c:dLbls>
            <c:dLbl>
              <c:idx val="0"/>
              <c:layout>
                <c:manualLayout>
                  <c:x val="2.3557126030624262E-3"/>
                  <c:y val="-0.1680993819911053"/>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'2015 - Ciclo de Operação'!$I$18</c:f>
              <c:numCache>
                <c:formatCode>General</c:formatCode>
                <c:ptCount val="1"/>
                <c:pt idx="0">
                  <c:v>1</c:v>
                </c:pt>
              </c:numCache>
            </c:numRef>
          </c:val>
        </c:ser>
        <c:ser>
          <c:idx val="2"/>
          <c:order val="2"/>
          <c:invertIfNegative val="0"/>
          <c:dLbls>
            <c:showLegendKey val="0"/>
            <c:showVal val="1"/>
            <c:showCatName val="0"/>
            <c:showSerName val="0"/>
            <c:showPercent val="0"/>
            <c:showBubbleSize val="0"/>
            <c:showLeaderLines val="0"/>
          </c:dLbls>
          <c:val>
            <c:numRef>
              <c:f>'2015 - Ciclo de Operação'!$B$19</c:f>
              <c:numCache>
                <c:formatCode>General</c:formatCode>
                <c:ptCount val="1"/>
                <c:pt idx="0">
                  <c:v>8520</c:v>
                </c:pt>
              </c:numCache>
            </c:numRef>
          </c:val>
        </c:ser>
        <c:dLbls>
          <c:showLegendKey val="0"/>
          <c:showVal val="0"/>
          <c:showCatName val="0"/>
          <c:showSerName val="0"/>
          <c:showPercent val="0"/>
          <c:showBubbleSize val="0"/>
        </c:dLbls>
        <c:gapWidth val="150"/>
        <c:overlap val="100"/>
        <c:axId val="108698240"/>
        <c:axId val="108712320"/>
      </c:barChart>
      <c:catAx>
        <c:axId val="108698240"/>
        <c:scaling>
          <c:orientation val="minMax"/>
        </c:scaling>
        <c:delete val="1"/>
        <c:axPos val="l"/>
        <c:majorTickMark val="out"/>
        <c:minorTickMark val="none"/>
        <c:tickLblPos val="nextTo"/>
        <c:crossAx val="108712320"/>
        <c:crosses val="autoZero"/>
        <c:auto val="1"/>
        <c:lblAlgn val="ctr"/>
        <c:lblOffset val="100"/>
        <c:noMultiLvlLbl val="0"/>
      </c:catAx>
      <c:valAx>
        <c:axId val="108712320"/>
        <c:scaling>
          <c:orientation val="minMax"/>
        </c:scaling>
        <c:delete val="1"/>
        <c:axPos val="b"/>
        <c:numFmt formatCode="General" sourceLinked="1"/>
        <c:majorTickMark val="out"/>
        <c:minorTickMark val="none"/>
        <c:tickLblPos val="nextTo"/>
        <c:crossAx val="108698240"/>
        <c:crosses val="autoZero"/>
        <c:crossBetween val="between"/>
      </c:valAx>
      <c:spPr>
        <a:noFill/>
        <a:ln w="25400">
          <a:noFill/>
        </a:ln>
      </c:spPr>
    </c:plotArea>
    <c:plotVisOnly val="1"/>
    <c:dispBlanksAs val="gap"/>
    <c:showDLblsOverMax val="0"/>
  </c:chart>
  <c:printSettings>
    <c:headerFooter/>
    <c:pageMargins b="0.75" l="0.7" r="0.7" t="0.75" header="0.3" footer="0.3"/>
    <c:pageSetup/>
  </c:printSettings>
  <c:userShapes r:id="rId1"/>
</c:chartSpace>
</file>

<file path=xl/charts/chart100.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42"/>
    </mc:Choice>
    <mc:Fallback>
      <c:style val="42"/>
    </mc:Fallback>
  </mc:AlternateContent>
  <c:chart>
    <c:title>
      <c:tx>
        <c:rich>
          <a:bodyPr/>
          <a:lstStyle/>
          <a:p>
            <a:pPr>
              <a:defRPr/>
            </a:pPr>
            <a:r>
              <a:rPr lang="en-US"/>
              <a:t>Urb. - Estacionamento auto</a:t>
            </a:r>
          </a:p>
        </c:rich>
      </c:tx>
      <c:layout/>
      <c:overlay val="0"/>
    </c:title>
    <c:autoTitleDeleted val="0"/>
    <c:plotArea>
      <c:layout>
        <c:manualLayout>
          <c:layoutTarget val="inner"/>
          <c:xMode val="edge"/>
          <c:yMode val="edge"/>
          <c:x val="2.4691358024691357E-2"/>
          <c:y val="0.32444484748597435"/>
          <c:w val="0.95286195286195285"/>
          <c:h val="0.55961308824621336"/>
        </c:manualLayout>
      </c:layout>
      <c:barChart>
        <c:barDir val="bar"/>
        <c:grouping val="stacked"/>
        <c:varyColors val="0"/>
        <c:ser>
          <c:idx val="0"/>
          <c:order val="0"/>
          <c:invertIfNegative val="0"/>
          <c:dLbls>
            <c:showLegendKey val="0"/>
            <c:showVal val="1"/>
            <c:showCatName val="0"/>
            <c:showSerName val="0"/>
            <c:showPercent val="0"/>
            <c:showBubbleSize val="0"/>
            <c:showLeaderLines val="0"/>
          </c:dLbls>
          <c:val>
            <c:numRef>
              <c:f>'2011 - Ciclo de Operação'!$B$50</c:f>
              <c:numCache>
                <c:formatCode>0</c:formatCode>
                <c:ptCount val="1"/>
                <c:pt idx="0">
                  <c:v>5160</c:v>
                </c:pt>
              </c:numCache>
            </c:numRef>
          </c:val>
        </c:ser>
        <c:ser>
          <c:idx val="1"/>
          <c:order val="1"/>
          <c:invertIfNegative val="0"/>
          <c:dLbls>
            <c:dLbl>
              <c:idx val="0"/>
              <c:layout>
                <c:manualLayout>
                  <c:x val="2.4540669202793462E-3"/>
                  <c:y val="-0.16611399144453773"/>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'2011 - Ciclo de Operação'!$I$50</c:f>
              <c:numCache>
                <c:formatCode>General</c:formatCode>
                <c:ptCount val="1"/>
                <c:pt idx="0">
                  <c:v>120</c:v>
                </c:pt>
              </c:numCache>
            </c:numRef>
          </c:val>
        </c:ser>
        <c:ser>
          <c:idx val="2"/>
          <c:order val="2"/>
          <c:invertIfNegative val="0"/>
          <c:dLbls>
            <c:showLegendKey val="0"/>
            <c:showVal val="1"/>
            <c:showCatName val="0"/>
            <c:showSerName val="0"/>
            <c:showPercent val="0"/>
            <c:showBubbleSize val="0"/>
            <c:showLeaderLines val="0"/>
          </c:dLbls>
          <c:val>
            <c:numRef>
              <c:f>'2011 - Ciclo de Operação'!$B$51</c:f>
              <c:numCache>
                <c:formatCode>0</c:formatCode>
                <c:ptCount val="1"/>
                <c:pt idx="0">
                  <c:v>3480</c:v>
                </c:pt>
              </c:numCache>
            </c:numRef>
          </c:val>
        </c:ser>
        <c:dLbls>
          <c:showLegendKey val="0"/>
          <c:showVal val="0"/>
          <c:showCatName val="0"/>
          <c:showSerName val="0"/>
          <c:showPercent val="0"/>
          <c:showBubbleSize val="0"/>
        </c:dLbls>
        <c:gapWidth val="150"/>
        <c:overlap val="100"/>
        <c:axId val="116944256"/>
        <c:axId val="116950144"/>
      </c:barChart>
      <c:catAx>
        <c:axId val="116944256"/>
        <c:scaling>
          <c:orientation val="minMax"/>
        </c:scaling>
        <c:delete val="1"/>
        <c:axPos val="l"/>
        <c:majorTickMark val="out"/>
        <c:minorTickMark val="none"/>
        <c:tickLblPos val="nextTo"/>
        <c:crossAx val="116950144"/>
        <c:crosses val="autoZero"/>
        <c:auto val="1"/>
        <c:lblAlgn val="ctr"/>
        <c:lblOffset val="100"/>
        <c:noMultiLvlLbl val="0"/>
      </c:catAx>
      <c:valAx>
        <c:axId val="116950144"/>
        <c:scaling>
          <c:orientation val="minMax"/>
        </c:scaling>
        <c:delete val="1"/>
        <c:axPos val="b"/>
        <c:numFmt formatCode="0" sourceLinked="1"/>
        <c:majorTickMark val="out"/>
        <c:minorTickMark val="none"/>
        <c:tickLblPos val="nextTo"/>
        <c:crossAx val="116944256"/>
        <c:crosses val="autoZero"/>
        <c:crossBetween val="between"/>
      </c:valAx>
      <c:spPr>
        <a:noFill/>
        <a:ln w="25400">
          <a:noFill/>
        </a:ln>
      </c:spPr>
    </c:plotArea>
    <c:plotVisOnly val="1"/>
    <c:dispBlanksAs val="gap"/>
    <c:showDLblsOverMax val="0"/>
  </c:chart>
  <c:printSettings>
    <c:headerFooter/>
    <c:pageMargins b="0.75" l="0.7" r="0.7" t="0.75" header="0.3" footer="0.3"/>
    <c:pageSetup/>
  </c:printSettings>
  <c:userShapes r:id="rId1"/>
</c:chartSpace>
</file>

<file path=xl/charts/chart101.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42"/>
    </mc:Choice>
    <mc:Fallback>
      <c:style val="42"/>
    </mc:Fallback>
  </mc:AlternateContent>
  <c:chart>
    <c:title>
      <c:tx>
        <c:rich>
          <a:bodyPr/>
          <a:lstStyle/>
          <a:p>
            <a:pPr>
              <a:defRPr/>
            </a:pPr>
            <a:r>
              <a:rPr lang="en-US"/>
              <a:t>Urb. - Ponte do rio</a:t>
            </a:r>
          </a:p>
        </c:rich>
      </c:tx>
      <c:layout/>
      <c:overlay val="0"/>
    </c:title>
    <c:autoTitleDeleted val="0"/>
    <c:plotArea>
      <c:layout>
        <c:manualLayout>
          <c:layoutTarget val="inner"/>
          <c:xMode val="edge"/>
          <c:yMode val="edge"/>
          <c:x val="2.4691358024691357E-2"/>
          <c:y val="0.32444484748597435"/>
          <c:w val="0.95286195286195285"/>
          <c:h val="0.55961308824621336"/>
        </c:manualLayout>
      </c:layout>
      <c:barChart>
        <c:barDir val="bar"/>
        <c:grouping val="stacked"/>
        <c:varyColors val="0"/>
        <c:ser>
          <c:idx val="0"/>
          <c:order val="0"/>
          <c:invertIfNegative val="0"/>
          <c:dLbls>
            <c:showLegendKey val="0"/>
            <c:showVal val="1"/>
            <c:showCatName val="0"/>
            <c:showSerName val="0"/>
            <c:showPercent val="0"/>
            <c:showBubbleSize val="0"/>
            <c:showLeaderLines val="0"/>
          </c:dLbls>
          <c:val>
            <c:numRef>
              <c:f>'2011 - Ciclo de Operação'!$B$50</c:f>
              <c:numCache>
                <c:formatCode>0</c:formatCode>
                <c:ptCount val="1"/>
                <c:pt idx="0">
                  <c:v>5160</c:v>
                </c:pt>
              </c:numCache>
            </c:numRef>
          </c:val>
        </c:ser>
        <c:ser>
          <c:idx val="1"/>
          <c:order val="1"/>
          <c:invertIfNegative val="0"/>
          <c:dLbls>
            <c:dLbl>
              <c:idx val="0"/>
              <c:layout>
                <c:manualLayout>
                  <c:x val="0"/>
                  <c:y val="-0.16611399144453773"/>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'2011 - Ciclo de Operação'!$I$50</c:f>
              <c:numCache>
                <c:formatCode>General</c:formatCode>
                <c:ptCount val="1"/>
                <c:pt idx="0">
                  <c:v>120</c:v>
                </c:pt>
              </c:numCache>
            </c:numRef>
          </c:val>
        </c:ser>
        <c:ser>
          <c:idx val="2"/>
          <c:order val="2"/>
          <c:invertIfNegative val="0"/>
          <c:dLbls>
            <c:showLegendKey val="0"/>
            <c:showVal val="1"/>
            <c:showCatName val="0"/>
            <c:showSerName val="0"/>
            <c:showPercent val="0"/>
            <c:showBubbleSize val="0"/>
            <c:showLeaderLines val="0"/>
          </c:dLbls>
          <c:val>
            <c:numRef>
              <c:f>'2011 - Ciclo de Operação'!$B$51</c:f>
              <c:numCache>
                <c:formatCode>0</c:formatCode>
                <c:ptCount val="1"/>
                <c:pt idx="0">
                  <c:v>3480</c:v>
                </c:pt>
              </c:numCache>
            </c:numRef>
          </c:val>
        </c:ser>
        <c:dLbls>
          <c:showLegendKey val="0"/>
          <c:showVal val="0"/>
          <c:showCatName val="0"/>
          <c:showSerName val="0"/>
          <c:showPercent val="0"/>
          <c:showBubbleSize val="0"/>
        </c:dLbls>
        <c:gapWidth val="150"/>
        <c:overlap val="100"/>
        <c:axId val="116998528"/>
        <c:axId val="117000064"/>
      </c:barChart>
      <c:catAx>
        <c:axId val="116998528"/>
        <c:scaling>
          <c:orientation val="minMax"/>
        </c:scaling>
        <c:delete val="1"/>
        <c:axPos val="l"/>
        <c:majorTickMark val="out"/>
        <c:minorTickMark val="none"/>
        <c:tickLblPos val="nextTo"/>
        <c:crossAx val="117000064"/>
        <c:crosses val="autoZero"/>
        <c:auto val="1"/>
        <c:lblAlgn val="ctr"/>
        <c:lblOffset val="100"/>
        <c:noMultiLvlLbl val="0"/>
      </c:catAx>
      <c:valAx>
        <c:axId val="117000064"/>
        <c:scaling>
          <c:orientation val="minMax"/>
        </c:scaling>
        <c:delete val="1"/>
        <c:axPos val="b"/>
        <c:numFmt formatCode="0" sourceLinked="1"/>
        <c:majorTickMark val="out"/>
        <c:minorTickMark val="none"/>
        <c:tickLblPos val="nextTo"/>
        <c:crossAx val="116998528"/>
        <c:crosses val="autoZero"/>
        <c:crossBetween val="between"/>
      </c:valAx>
      <c:spPr>
        <a:noFill/>
        <a:ln w="25400">
          <a:noFill/>
        </a:ln>
      </c:spPr>
    </c:plotArea>
    <c:plotVisOnly val="1"/>
    <c:dispBlanksAs val="gap"/>
    <c:showDLblsOverMax val="0"/>
  </c:chart>
  <c:printSettings>
    <c:headerFooter/>
    <c:pageMargins b="0.75" l="0.7" r="0.7" t="0.75" header="0.3" footer="0.3"/>
    <c:pageSetup/>
  </c:printSettings>
  <c:userShapes r:id="rId1"/>
</c:chartSpace>
</file>

<file path=xl/charts/chart102.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Total de avarias por dia - 2010</c:v>
          </c:tx>
          <c:invertIfNegative val="0"/>
          <c:dLbls>
            <c:numFmt formatCode="#,##0;\-#,##0" sourceLinked="0"/>
            <c:txPr>
              <a:bodyPr/>
              <a:lstStyle/>
              <a:p>
                <a:pPr>
                  <a:defRPr b="1"/>
                </a:pPr>
                <a:endParaRPr lang="pt-PT"/>
              </a:p>
            </c:txPr>
            <c:showLegendKey val="0"/>
            <c:showVal val="1"/>
            <c:showCatName val="0"/>
            <c:showSerName val="0"/>
            <c:showPercent val="0"/>
            <c:showBubbleSize val="0"/>
            <c:showLeaderLines val="0"/>
          </c:dLbls>
          <c:cat>
            <c:numRef>
              <c:f>'2010 - Gráficos'!$B$6:$B$23</c:f>
              <c:numCache>
                <c:formatCode>General</c:formatCode>
                <c:ptCount val="18"/>
                <c:pt idx="0">
                  <c:v>21</c:v>
                </c:pt>
                <c:pt idx="1">
                  <c:v>32</c:v>
                </c:pt>
                <c:pt idx="2">
                  <c:v>40</c:v>
                </c:pt>
                <c:pt idx="3">
                  <c:v>53</c:v>
                </c:pt>
                <c:pt idx="4">
                  <c:v>97</c:v>
                </c:pt>
                <c:pt idx="5">
                  <c:v>98</c:v>
                </c:pt>
                <c:pt idx="6">
                  <c:v>122</c:v>
                </c:pt>
                <c:pt idx="7">
                  <c:v>125</c:v>
                </c:pt>
                <c:pt idx="8">
                  <c:v>206</c:v>
                </c:pt>
                <c:pt idx="9">
                  <c:v>210</c:v>
                </c:pt>
                <c:pt idx="10">
                  <c:v>220</c:v>
                </c:pt>
                <c:pt idx="11">
                  <c:v>240</c:v>
                </c:pt>
                <c:pt idx="12">
                  <c:v>260</c:v>
                </c:pt>
                <c:pt idx="13">
                  <c:v>267</c:v>
                </c:pt>
                <c:pt idx="14">
                  <c:v>268</c:v>
                </c:pt>
                <c:pt idx="15">
                  <c:v>285</c:v>
                </c:pt>
                <c:pt idx="16">
                  <c:v>289</c:v>
                </c:pt>
                <c:pt idx="17">
                  <c:v>290</c:v>
                </c:pt>
              </c:numCache>
            </c:numRef>
          </c:cat>
          <c:val>
            <c:numRef>
              <c:f>'2010 - Gráficos'!$C$6:$C$23</c:f>
              <c:numCache>
                <c:formatCode>0</c:formatCode>
                <c:ptCount val="18"/>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numCache>
            </c:numRef>
          </c:val>
        </c:ser>
        <c:dLbls>
          <c:showLegendKey val="0"/>
          <c:showVal val="0"/>
          <c:showCatName val="0"/>
          <c:showSerName val="0"/>
          <c:showPercent val="0"/>
          <c:showBubbleSize val="0"/>
        </c:dLbls>
        <c:gapWidth val="300"/>
        <c:axId val="113221632"/>
        <c:axId val="113223552"/>
      </c:barChart>
      <c:catAx>
        <c:axId val="113221632"/>
        <c:scaling>
          <c:orientation val="minMax"/>
        </c:scaling>
        <c:delete val="0"/>
        <c:axPos val="b"/>
        <c:title>
          <c:tx>
            <c:rich>
              <a:bodyPr/>
              <a:lstStyle/>
              <a:p>
                <a:pPr>
                  <a:defRPr/>
                </a:pPr>
                <a:r>
                  <a:rPr lang="pt-PT"/>
                  <a:t>Numero</a:t>
                </a:r>
                <a:r>
                  <a:rPr lang="pt-PT" baseline="0"/>
                  <a:t> de dias/ano</a:t>
                </a:r>
                <a:endParaRPr lang="pt-PT"/>
              </a:p>
            </c:rich>
          </c:tx>
          <c:layout/>
          <c:overlay val="0"/>
        </c:title>
        <c:numFmt formatCode="General" sourceLinked="1"/>
        <c:majorTickMark val="none"/>
        <c:minorTickMark val="none"/>
        <c:tickLblPos val="nextTo"/>
        <c:txPr>
          <a:bodyPr rot="-5400000" vert="horz"/>
          <a:lstStyle/>
          <a:p>
            <a:pPr>
              <a:defRPr/>
            </a:pPr>
            <a:endParaRPr lang="pt-PT"/>
          </a:p>
        </c:txPr>
        <c:crossAx val="113223552"/>
        <c:crosses val="autoZero"/>
        <c:auto val="1"/>
        <c:lblAlgn val="ctr"/>
        <c:lblOffset val="100"/>
        <c:noMultiLvlLbl val="0"/>
      </c:catAx>
      <c:valAx>
        <c:axId val="113223552"/>
        <c:scaling>
          <c:orientation val="minMax"/>
        </c:scaling>
        <c:delete val="0"/>
        <c:axPos val="l"/>
        <c:majorGridlines/>
        <c:minorGridlines/>
        <c:title>
          <c:tx>
            <c:rich>
              <a:bodyPr/>
              <a:lstStyle/>
              <a:p>
                <a:pPr>
                  <a:defRPr/>
                </a:pPr>
                <a:r>
                  <a:rPr lang="pt-PT"/>
                  <a:t>Total</a:t>
                </a:r>
                <a:r>
                  <a:rPr lang="pt-PT" baseline="0"/>
                  <a:t> de avarias</a:t>
                </a:r>
                <a:endParaRPr lang="pt-PT"/>
              </a:p>
            </c:rich>
          </c:tx>
          <c:layout/>
          <c:overlay val="0"/>
        </c:title>
        <c:numFmt formatCode="0" sourceLinked="1"/>
        <c:majorTickMark val="out"/>
        <c:minorTickMark val="none"/>
        <c:tickLblPos val="nextTo"/>
        <c:crossAx val="113221632"/>
        <c:crosses val="autoZero"/>
        <c:crossBetween val="between"/>
      </c:valAx>
    </c:plotArea>
    <c:legend>
      <c:legendPos val="r"/>
      <c:layout/>
      <c:overlay val="0"/>
    </c:legend>
    <c:plotVisOnly val="1"/>
    <c:dispBlanksAs val="gap"/>
    <c:showDLblsOverMax val="0"/>
  </c:chart>
  <c:printSettings>
    <c:headerFooter/>
    <c:pageMargins b="0.75" l="0.7" r="0.7" t="0.75" header="0.3" footer="0.3"/>
    <c:pageSetup/>
  </c:printSettings>
</c:chartSpace>
</file>

<file path=xl/charts/chart103.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Total de avarias combustivel fossil 31</c:v>
          </c:tx>
          <c:invertIfNegative val="0"/>
          <c:dLbls>
            <c:numFmt formatCode="#,##0;\-#,##0" sourceLinked="0"/>
            <c:txPr>
              <a:bodyPr/>
              <a:lstStyle/>
              <a:p>
                <a:pPr>
                  <a:defRPr b="1"/>
                </a:pPr>
                <a:endParaRPr lang="pt-PT"/>
              </a:p>
            </c:txPr>
            <c:showLegendKey val="0"/>
            <c:showVal val="1"/>
            <c:showCatName val="0"/>
            <c:showSerName val="0"/>
            <c:showPercent val="0"/>
            <c:showBubbleSize val="0"/>
            <c:showLeaderLines val="0"/>
          </c:dLbls>
          <c:cat>
            <c:numRef>
              <c:f>'2010 - Gráficos'!$F$6</c:f>
              <c:numCache>
                <c:formatCode>General</c:formatCode>
                <c:ptCount val="1"/>
                <c:pt idx="0">
                  <c:v>125</c:v>
                </c:pt>
              </c:numCache>
            </c:numRef>
          </c:cat>
          <c:val>
            <c:numRef>
              <c:f>'2010 - Gráficos'!$G$6</c:f>
              <c:numCache>
                <c:formatCode>0</c:formatCode>
                <c:ptCount val="1"/>
                <c:pt idx="0">
                  <c:v>1</c:v>
                </c:pt>
              </c:numCache>
            </c:numRef>
          </c:val>
        </c:ser>
        <c:dLbls>
          <c:showLegendKey val="0"/>
          <c:showVal val="0"/>
          <c:showCatName val="0"/>
          <c:showSerName val="0"/>
          <c:showPercent val="0"/>
          <c:showBubbleSize val="0"/>
        </c:dLbls>
        <c:gapWidth val="300"/>
        <c:axId val="113309952"/>
        <c:axId val="115580928"/>
      </c:barChart>
      <c:catAx>
        <c:axId val="113309952"/>
        <c:scaling>
          <c:orientation val="minMax"/>
        </c:scaling>
        <c:delete val="0"/>
        <c:axPos val="b"/>
        <c:numFmt formatCode="General" sourceLinked="1"/>
        <c:majorTickMark val="none"/>
        <c:minorTickMark val="none"/>
        <c:tickLblPos val="nextTo"/>
        <c:crossAx val="115580928"/>
        <c:crosses val="autoZero"/>
        <c:auto val="1"/>
        <c:lblAlgn val="ctr"/>
        <c:lblOffset val="100"/>
        <c:noMultiLvlLbl val="0"/>
      </c:catAx>
      <c:valAx>
        <c:axId val="115580928"/>
        <c:scaling>
          <c:orientation val="minMax"/>
        </c:scaling>
        <c:delete val="0"/>
        <c:axPos val="l"/>
        <c:majorGridlines/>
        <c:minorGridlines/>
        <c:numFmt formatCode="0" sourceLinked="1"/>
        <c:majorTickMark val="out"/>
        <c:minorTickMark val="none"/>
        <c:tickLblPos val="nextTo"/>
        <c:crossAx val="113309952"/>
        <c:crosses val="autoZero"/>
        <c:crossBetween val="between"/>
      </c:valAx>
    </c:plotArea>
    <c:legend>
      <c:legendPos val="r"/>
      <c:layout/>
      <c:overlay val="0"/>
    </c:legend>
    <c:plotVisOnly val="1"/>
    <c:dispBlanksAs val="gap"/>
    <c:showDLblsOverMax val="0"/>
  </c:chart>
  <c:printSettings>
    <c:headerFooter/>
    <c:pageMargins b="0.75" l="0.7" r="0.7" t="0.75" header="0.3" footer="0.3"/>
    <c:pageSetup/>
  </c:printSettings>
</c:chartSpace>
</file>

<file path=xl/charts/chart104.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Total de avarias Incinerador 2</c:v>
          </c:tx>
          <c:invertIfNegative val="0"/>
          <c:dLbls>
            <c:numFmt formatCode="#,##0;\-#,##0" sourceLinked="0"/>
            <c:txPr>
              <a:bodyPr/>
              <a:lstStyle/>
              <a:p>
                <a:pPr>
                  <a:defRPr b="1"/>
                </a:pPr>
                <a:endParaRPr lang="pt-PT"/>
              </a:p>
            </c:txPr>
            <c:showLegendKey val="0"/>
            <c:showVal val="1"/>
            <c:showCatName val="0"/>
            <c:showSerName val="0"/>
            <c:showPercent val="0"/>
            <c:showBubbleSize val="0"/>
            <c:showLeaderLines val="0"/>
          </c:dLbls>
          <c:cat>
            <c:numRef>
              <c:f>'2010 - Gráficos'!$F$12:$F$17</c:f>
              <c:numCache>
                <c:formatCode>General</c:formatCode>
                <c:ptCount val="6"/>
                <c:pt idx="0">
                  <c:v>21</c:v>
                </c:pt>
                <c:pt idx="1">
                  <c:v>98</c:v>
                </c:pt>
                <c:pt idx="2">
                  <c:v>122</c:v>
                </c:pt>
                <c:pt idx="3">
                  <c:v>210</c:v>
                </c:pt>
                <c:pt idx="4">
                  <c:v>260</c:v>
                </c:pt>
                <c:pt idx="5">
                  <c:v>267</c:v>
                </c:pt>
              </c:numCache>
            </c:numRef>
          </c:cat>
          <c:val>
            <c:numRef>
              <c:f>'2010 - Gráficos'!$G$12:$G$17</c:f>
              <c:numCache>
                <c:formatCode>0</c:formatCode>
                <c:ptCount val="6"/>
                <c:pt idx="0">
                  <c:v>1</c:v>
                </c:pt>
                <c:pt idx="1">
                  <c:v>1</c:v>
                </c:pt>
                <c:pt idx="2">
                  <c:v>1</c:v>
                </c:pt>
                <c:pt idx="3">
                  <c:v>1</c:v>
                </c:pt>
                <c:pt idx="4">
                  <c:v>1</c:v>
                </c:pt>
                <c:pt idx="5">
                  <c:v>1</c:v>
                </c:pt>
              </c:numCache>
            </c:numRef>
          </c:val>
        </c:ser>
        <c:dLbls>
          <c:showLegendKey val="0"/>
          <c:showVal val="0"/>
          <c:showCatName val="0"/>
          <c:showSerName val="0"/>
          <c:showPercent val="0"/>
          <c:showBubbleSize val="0"/>
        </c:dLbls>
        <c:gapWidth val="300"/>
        <c:axId val="115736576"/>
        <c:axId val="115738112"/>
      </c:barChart>
      <c:catAx>
        <c:axId val="115736576"/>
        <c:scaling>
          <c:orientation val="minMax"/>
        </c:scaling>
        <c:delete val="0"/>
        <c:axPos val="b"/>
        <c:numFmt formatCode="General" sourceLinked="1"/>
        <c:majorTickMark val="none"/>
        <c:minorTickMark val="none"/>
        <c:tickLblPos val="nextTo"/>
        <c:crossAx val="115738112"/>
        <c:crosses val="autoZero"/>
        <c:auto val="1"/>
        <c:lblAlgn val="ctr"/>
        <c:lblOffset val="100"/>
        <c:noMultiLvlLbl val="0"/>
      </c:catAx>
      <c:valAx>
        <c:axId val="115738112"/>
        <c:scaling>
          <c:orientation val="minMax"/>
        </c:scaling>
        <c:delete val="0"/>
        <c:axPos val="l"/>
        <c:majorGridlines/>
        <c:minorGridlines/>
        <c:numFmt formatCode="0" sourceLinked="1"/>
        <c:majorTickMark val="out"/>
        <c:minorTickMark val="none"/>
        <c:tickLblPos val="nextTo"/>
        <c:crossAx val="115736576"/>
        <c:crosses val="autoZero"/>
        <c:crossBetween val="between"/>
      </c:valAx>
    </c:plotArea>
    <c:legend>
      <c:legendPos val="r"/>
      <c:layout/>
      <c:overlay val="0"/>
    </c:legend>
    <c:plotVisOnly val="1"/>
    <c:dispBlanksAs val="gap"/>
    <c:showDLblsOverMax val="0"/>
  </c:chart>
  <c:printSettings>
    <c:headerFooter/>
    <c:pageMargins b="0.75" l="0.7" r="0.7" t="0.75" header="0.3" footer="0.3"/>
    <c:pageSetup/>
  </c:printSettings>
</c:chartSpace>
</file>

<file path=xl/charts/chart105.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Total de avarias Incinerador 3</c:v>
          </c:tx>
          <c:invertIfNegative val="0"/>
          <c:dLbls>
            <c:numFmt formatCode="#,##0;\-#,##0" sourceLinked="0"/>
            <c:txPr>
              <a:bodyPr/>
              <a:lstStyle/>
              <a:p>
                <a:pPr>
                  <a:defRPr b="1"/>
                </a:pPr>
                <a:endParaRPr lang="pt-PT"/>
              </a:p>
            </c:txPr>
            <c:showLegendKey val="0"/>
            <c:showVal val="1"/>
            <c:showCatName val="0"/>
            <c:showSerName val="0"/>
            <c:showPercent val="0"/>
            <c:showBubbleSize val="0"/>
            <c:showLeaderLines val="0"/>
          </c:dLbls>
          <c:cat>
            <c:numRef>
              <c:f>'2010 - Gráficos'!$F$18:$F$24</c:f>
              <c:numCache>
                <c:formatCode>General</c:formatCode>
                <c:ptCount val="7"/>
                <c:pt idx="0">
                  <c:v>53</c:v>
                </c:pt>
                <c:pt idx="1">
                  <c:v>97</c:v>
                </c:pt>
                <c:pt idx="2">
                  <c:v>240</c:v>
                </c:pt>
                <c:pt idx="3">
                  <c:v>268</c:v>
                </c:pt>
                <c:pt idx="4">
                  <c:v>285</c:v>
                </c:pt>
                <c:pt idx="5">
                  <c:v>289</c:v>
                </c:pt>
                <c:pt idx="6">
                  <c:v>309</c:v>
                </c:pt>
              </c:numCache>
            </c:numRef>
          </c:cat>
          <c:val>
            <c:numRef>
              <c:f>'2010 - Gráficos'!$G$18:$G$24</c:f>
              <c:numCache>
                <c:formatCode>0</c:formatCode>
                <c:ptCount val="7"/>
                <c:pt idx="0">
                  <c:v>1</c:v>
                </c:pt>
                <c:pt idx="1">
                  <c:v>1</c:v>
                </c:pt>
                <c:pt idx="2">
                  <c:v>1</c:v>
                </c:pt>
                <c:pt idx="3">
                  <c:v>1</c:v>
                </c:pt>
                <c:pt idx="4">
                  <c:v>1</c:v>
                </c:pt>
                <c:pt idx="5">
                  <c:v>1</c:v>
                </c:pt>
                <c:pt idx="6">
                  <c:v>1</c:v>
                </c:pt>
              </c:numCache>
            </c:numRef>
          </c:val>
        </c:ser>
        <c:dLbls>
          <c:showLegendKey val="0"/>
          <c:showVal val="0"/>
          <c:showCatName val="0"/>
          <c:showSerName val="0"/>
          <c:showPercent val="0"/>
          <c:showBubbleSize val="0"/>
        </c:dLbls>
        <c:gapWidth val="300"/>
        <c:axId val="115779072"/>
        <c:axId val="115780608"/>
      </c:barChart>
      <c:catAx>
        <c:axId val="115779072"/>
        <c:scaling>
          <c:orientation val="minMax"/>
        </c:scaling>
        <c:delete val="0"/>
        <c:axPos val="b"/>
        <c:numFmt formatCode="General" sourceLinked="1"/>
        <c:majorTickMark val="none"/>
        <c:minorTickMark val="none"/>
        <c:tickLblPos val="nextTo"/>
        <c:crossAx val="115780608"/>
        <c:crosses val="autoZero"/>
        <c:auto val="1"/>
        <c:lblAlgn val="ctr"/>
        <c:lblOffset val="100"/>
        <c:noMultiLvlLbl val="0"/>
      </c:catAx>
      <c:valAx>
        <c:axId val="115780608"/>
        <c:scaling>
          <c:orientation val="minMax"/>
        </c:scaling>
        <c:delete val="0"/>
        <c:axPos val="l"/>
        <c:majorGridlines/>
        <c:minorGridlines/>
        <c:numFmt formatCode="0" sourceLinked="1"/>
        <c:majorTickMark val="out"/>
        <c:minorTickMark val="none"/>
        <c:tickLblPos val="nextTo"/>
        <c:crossAx val="115779072"/>
        <c:crosses val="autoZero"/>
        <c:crossBetween val="between"/>
      </c:valAx>
    </c:plotArea>
    <c:legend>
      <c:legendPos val="r"/>
      <c:layout/>
      <c:overlay val="0"/>
    </c:legend>
    <c:plotVisOnly val="1"/>
    <c:dispBlanksAs val="gap"/>
    <c:showDLblsOverMax val="0"/>
  </c:chart>
  <c:printSettings>
    <c:headerFooter/>
    <c:pageMargins b="0.75" l="0.7" r="0.7" t="0.75" header="0.3" footer="0.3"/>
    <c:pageSetup/>
  </c:printSettings>
</c:chartSpace>
</file>

<file path=xl/charts/chart106.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Total de avarias Postos Urb.</c:v>
          </c:tx>
          <c:invertIfNegative val="0"/>
          <c:dLbls>
            <c:numFmt formatCode="#,##0;\-#,##0" sourceLinked="0"/>
            <c:txPr>
              <a:bodyPr/>
              <a:lstStyle/>
              <a:p>
                <a:pPr>
                  <a:defRPr b="1"/>
                </a:pPr>
                <a:endParaRPr lang="pt-PT"/>
              </a:p>
            </c:txPr>
            <c:showLegendKey val="0"/>
            <c:showVal val="1"/>
            <c:showCatName val="0"/>
            <c:showSerName val="0"/>
            <c:showPercent val="0"/>
            <c:showBubbleSize val="0"/>
            <c:showLeaderLines val="0"/>
          </c:dLbls>
          <c:cat>
            <c:numRef>
              <c:f>'2010 - Gráficos'!$F$25</c:f>
              <c:numCache>
                <c:formatCode>General</c:formatCode>
                <c:ptCount val="1"/>
                <c:pt idx="0">
                  <c:v>220</c:v>
                </c:pt>
              </c:numCache>
            </c:numRef>
          </c:cat>
          <c:val>
            <c:numRef>
              <c:f>'2010 - Gráficos'!$G$25</c:f>
              <c:numCache>
                <c:formatCode>0</c:formatCode>
                <c:ptCount val="1"/>
                <c:pt idx="0">
                  <c:v>1</c:v>
                </c:pt>
              </c:numCache>
            </c:numRef>
          </c:val>
        </c:ser>
        <c:dLbls>
          <c:showLegendKey val="0"/>
          <c:showVal val="0"/>
          <c:showCatName val="0"/>
          <c:showSerName val="0"/>
          <c:showPercent val="0"/>
          <c:showBubbleSize val="0"/>
        </c:dLbls>
        <c:gapWidth val="300"/>
        <c:axId val="117124096"/>
        <c:axId val="117125888"/>
      </c:barChart>
      <c:catAx>
        <c:axId val="117124096"/>
        <c:scaling>
          <c:orientation val="minMax"/>
        </c:scaling>
        <c:delete val="0"/>
        <c:axPos val="b"/>
        <c:numFmt formatCode="General" sourceLinked="1"/>
        <c:majorTickMark val="none"/>
        <c:minorTickMark val="none"/>
        <c:tickLblPos val="nextTo"/>
        <c:crossAx val="117125888"/>
        <c:crosses val="autoZero"/>
        <c:auto val="1"/>
        <c:lblAlgn val="ctr"/>
        <c:lblOffset val="100"/>
        <c:noMultiLvlLbl val="0"/>
      </c:catAx>
      <c:valAx>
        <c:axId val="117125888"/>
        <c:scaling>
          <c:orientation val="minMax"/>
        </c:scaling>
        <c:delete val="0"/>
        <c:axPos val="l"/>
        <c:majorGridlines/>
        <c:minorGridlines/>
        <c:numFmt formatCode="0" sourceLinked="1"/>
        <c:majorTickMark val="out"/>
        <c:minorTickMark val="none"/>
        <c:tickLblPos val="nextTo"/>
        <c:crossAx val="117124096"/>
        <c:crosses val="autoZero"/>
        <c:crossBetween val="between"/>
      </c:valAx>
    </c:plotArea>
    <c:legend>
      <c:legendPos val="r"/>
      <c:layout/>
      <c:overlay val="0"/>
    </c:legend>
    <c:plotVisOnly val="1"/>
    <c:dispBlanksAs val="gap"/>
    <c:showDLblsOverMax val="0"/>
  </c:chart>
  <c:printSettings>
    <c:headerFooter/>
    <c:pageMargins b="0.75" l="0.7" r="0.7" t="0.75" header="0.3" footer="0.3"/>
    <c:pageSetup/>
  </c:printSettings>
</c:chartSpace>
</file>

<file path=xl/charts/chart107.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Total de avarias combustivel fossil 41</c:v>
          </c:tx>
          <c:invertIfNegative val="0"/>
          <c:dLbls>
            <c:numFmt formatCode="#,##0;\-#,##0" sourceLinked="0"/>
            <c:txPr>
              <a:bodyPr/>
              <a:lstStyle/>
              <a:p>
                <a:pPr>
                  <a:defRPr b="1"/>
                </a:pPr>
                <a:endParaRPr lang="pt-PT"/>
              </a:p>
            </c:txPr>
            <c:showLegendKey val="0"/>
            <c:showVal val="1"/>
            <c:showCatName val="0"/>
            <c:showSerName val="0"/>
            <c:showPercent val="0"/>
            <c:showBubbleSize val="0"/>
            <c:showLeaderLines val="0"/>
          </c:dLbls>
          <c:cat>
            <c:numRef>
              <c:f>'2010 - Gráficos'!$F$7:$F$8</c:f>
              <c:numCache>
                <c:formatCode>General</c:formatCode>
                <c:ptCount val="2"/>
                <c:pt idx="0">
                  <c:v>206</c:v>
                </c:pt>
                <c:pt idx="1">
                  <c:v>290</c:v>
                </c:pt>
              </c:numCache>
            </c:numRef>
          </c:cat>
          <c:val>
            <c:numRef>
              <c:f>'2010 - Gráficos'!$G$7:$G$8</c:f>
              <c:numCache>
                <c:formatCode>0</c:formatCode>
                <c:ptCount val="2"/>
                <c:pt idx="0">
                  <c:v>1</c:v>
                </c:pt>
                <c:pt idx="1">
                  <c:v>1</c:v>
                </c:pt>
              </c:numCache>
            </c:numRef>
          </c:val>
        </c:ser>
        <c:dLbls>
          <c:showLegendKey val="0"/>
          <c:showVal val="0"/>
          <c:showCatName val="0"/>
          <c:showSerName val="0"/>
          <c:showPercent val="0"/>
          <c:showBubbleSize val="0"/>
        </c:dLbls>
        <c:gapWidth val="300"/>
        <c:axId val="117572352"/>
        <c:axId val="117573888"/>
      </c:barChart>
      <c:catAx>
        <c:axId val="117572352"/>
        <c:scaling>
          <c:orientation val="minMax"/>
        </c:scaling>
        <c:delete val="0"/>
        <c:axPos val="b"/>
        <c:numFmt formatCode="General" sourceLinked="1"/>
        <c:majorTickMark val="none"/>
        <c:minorTickMark val="none"/>
        <c:tickLblPos val="nextTo"/>
        <c:crossAx val="117573888"/>
        <c:crosses val="autoZero"/>
        <c:auto val="1"/>
        <c:lblAlgn val="ctr"/>
        <c:lblOffset val="100"/>
        <c:noMultiLvlLbl val="0"/>
      </c:catAx>
      <c:valAx>
        <c:axId val="117573888"/>
        <c:scaling>
          <c:orientation val="minMax"/>
        </c:scaling>
        <c:delete val="0"/>
        <c:axPos val="l"/>
        <c:majorGridlines/>
        <c:minorGridlines/>
        <c:numFmt formatCode="0" sourceLinked="1"/>
        <c:majorTickMark val="out"/>
        <c:minorTickMark val="none"/>
        <c:tickLblPos val="nextTo"/>
        <c:crossAx val="117572352"/>
        <c:crosses val="autoZero"/>
        <c:crossBetween val="between"/>
      </c:valAx>
    </c:plotArea>
    <c:legend>
      <c:legendPos val="r"/>
      <c:layout/>
      <c:overlay val="0"/>
    </c:legend>
    <c:plotVisOnly val="1"/>
    <c:dispBlanksAs val="gap"/>
    <c:showDLblsOverMax val="0"/>
  </c:chart>
  <c:printSettings>
    <c:headerFooter/>
    <c:pageMargins b="0.75" l="0.7" r="0.7" t="0.75" header="0.3" footer="0.3"/>
    <c:pageSetup/>
  </c:printSettings>
</c:chartSpace>
</file>

<file path=xl/charts/chart108.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Total de avarias Incinerador 1</c:v>
          </c:tx>
          <c:invertIfNegative val="0"/>
          <c:dLbls>
            <c:numFmt formatCode="#,##0;\-#,##0" sourceLinked="0"/>
            <c:txPr>
              <a:bodyPr/>
              <a:lstStyle/>
              <a:p>
                <a:pPr>
                  <a:defRPr b="1"/>
                </a:pPr>
                <a:endParaRPr lang="pt-PT"/>
              </a:p>
            </c:txPr>
            <c:showLegendKey val="0"/>
            <c:showVal val="1"/>
            <c:showCatName val="0"/>
            <c:showSerName val="0"/>
            <c:showPercent val="0"/>
            <c:showBubbleSize val="0"/>
            <c:showLeaderLines val="0"/>
          </c:dLbls>
          <c:cat>
            <c:numRef>
              <c:f>'2010 - Gráficos'!$F$9:$F$11</c:f>
              <c:numCache>
                <c:formatCode>General</c:formatCode>
                <c:ptCount val="3"/>
                <c:pt idx="0">
                  <c:v>32</c:v>
                </c:pt>
                <c:pt idx="1">
                  <c:v>40</c:v>
                </c:pt>
                <c:pt idx="2">
                  <c:v>304</c:v>
                </c:pt>
              </c:numCache>
            </c:numRef>
          </c:cat>
          <c:val>
            <c:numRef>
              <c:f>'2010 - Gráficos'!$G$9:$G$11</c:f>
              <c:numCache>
                <c:formatCode>0</c:formatCode>
                <c:ptCount val="3"/>
                <c:pt idx="0">
                  <c:v>1</c:v>
                </c:pt>
                <c:pt idx="1">
                  <c:v>1</c:v>
                </c:pt>
                <c:pt idx="2">
                  <c:v>1</c:v>
                </c:pt>
              </c:numCache>
            </c:numRef>
          </c:val>
        </c:ser>
        <c:dLbls>
          <c:showLegendKey val="0"/>
          <c:showVal val="0"/>
          <c:showCatName val="0"/>
          <c:showSerName val="0"/>
          <c:showPercent val="0"/>
          <c:showBubbleSize val="0"/>
        </c:dLbls>
        <c:gapWidth val="300"/>
        <c:axId val="117586176"/>
        <c:axId val="117587968"/>
      </c:barChart>
      <c:catAx>
        <c:axId val="117586176"/>
        <c:scaling>
          <c:orientation val="minMax"/>
        </c:scaling>
        <c:delete val="0"/>
        <c:axPos val="b"/>
        <c:numFmt formatCode="General" sourceLinked="1"/>
        <c:majorTickMark val="none"/>
        <c:minorTickMark val="none"/>
        <c:tickLblPos val="nextTo"/>
        <c:crossAx val="117587968"/>
        <c:crosses val="autoZero"/>
        <c:auto val="1"/>
        <c:lblAlgn val="ctr"/>
        <c:lblOffset val="100"/>
        <c:noMultiLvlLbl val="0"/>
      </c:catAx>
      <c:valAx>
        <c:axId val="117587968"/>
        <c:scaling>
          <c:orientation val="minMax"/>
        </c:scaling>
        <c:delete val="0"/>
        <c:axPos val="l"/>
        <c:majorGridlines/>
        <c:minorGridlines/>
        <c:numFmt formatCode="0" sourceLinked="1"/>
        <c:majorTickMark val="out"/>
        <c:minorTickMark val="none"/>
        <c:tickLblPos val="nextTo"/>
        <c:crossAx val="117586176"/>
        <c:crosses val="autoZero"/>
        <c:crossBetween val="between"/>
      </c:valAx>
    </c:plotArea>
    <c:legend>
      <c:legendPos val="r"/>
      <c:layout/>
      <c:overlay val="0"/>
    </c:legend>
    <c:plotVisOnly val="1"/>
    <c:dispBlanksAs val="gap"/>
    <c:showDLblsOverMax val="0"/>
  </c:chart>
  <c:printSettings>
    <c:headerFooter/>
    <c:pageMargins b="0.75" l="0.7" r="0.7" t="0.75" header="0.3" footer="0.3"/>
    <c:pageSetup/>
  </c:printSettings>
</c:chartSpace>
</file>

<file path=xl/charts/chart109.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42"/>
    </mc:Choice>
    <mc:Fallback>
      <c:style val="42"/>
    </mc:Fallback>
  </mc:AlternateContent>
  <c:chart>
    <c:title>
      <c:tx>
        <c:rich>
          <a:bodyPr/>
          <a:lstStyle/>
          <a:p>
            <a:pPr>
              <a:defRPr/>
            </a:pPr>
            <a:r>
              <a:rPr lang="en-US"/>
              <a:t>Combustivel fossil 31 - Precipitador</a:t>
            </a:r>
          </a:p>
        </c:rich>
      </c:tx>
      <c:layout/>
      <c:overlay val="0"/>
    </c:title>
    <c:autoTitleDeleted val="0"/>
    <c:plotArea>
      <c:layout>
        <c:manualLayout>
          <c:layoutTarget val="inner"/>
          <c:xMode val="edge"/>
          <c:yMode val="edge"/>
          <c:x val="2.4691358024691357E-2"/>
          <c:y val="0.32444484748597435"/>
          <c:w val="0.95286195286195285"/>
          <c:h val="0.55961308824621336"/>
        </c:manualLayout>
      </c:layout>
      <c:barChart>
        <c:barDir val="bar"/>
        <c:grouping val="stacked"/>
        <c:varyColors val="0"/>
        <c:ser>
          <c:idx val="0"/>
          <c:order val="0"/>
          <c:invertIfNegative val="0"/>
          <c:dLbls>
            <c:showLegendKey val="0"/>
            <c:showVal val="1"/>
            <c:showCatName val="0"/>
            <c:showSerName val="0"/>
            <c:showPercent val="0"/>
            <c:showBubbleSize val="0"/>
            <c:showLeaderLines val="0"/>
          </c:dLbls>
          <c:val>
            <c:numRef>
              <c:f>'2010 - Ciclo de Operação'!$B$7</c:f>
              <c:numCache>
                <c:formatCode>0</c:formatCode>
                <c:ptCount val="1"/>
                <c:pt idx="0">
                  <c:v>3000</c:v>
                </c:pt>
              </c:numCache>
            </c:numRef>
          </c:val>
        </c:ser>
        <c:ser>
          <c:idx val="1"/>
          <c:order val="1"/>
          <c:invertIfNegative val="0"/>
          <c:dLbls>
            <c:dLbl>
              <c:idx val="0"/>
              <c:layout>
                <c:manualLayout>
                  <c:x val="0"/>
                  <c:y val="-0.15881372400675772"/>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'2010 - Ciclo de Operação'!$I$7</c:f>
              <c:numCache>
                <c:formatCode>General</c:formatCode>
                <c:ptCount val="1"/>
                <c:pt idx="0">
                  <c:v>30</c:v>
                </c:pt>
              </c:numCache>
            </c:numRef>
          </c:val>
        </c:ser>
        <c:ser>
          <c:idx val="2"/>
          <c:order val="2"/>
          <c:invertIfNegative val="0"/>
          <c:dLbls>
            <c:showLegendKey val="0"/>
            <c:showVal val="1"/>
            <c:showCatName val="0"/>
            <c:showSerName val="0"/>
            <c:showPercent val="0"/>
            <c:showBubbleSize val="0"/>
            <c:showLeaderLines val="0"/>
          </c:dLbls>
          <c:val>
            <c:numRef>
              <c:f>'2010 - Ciclo de Operação'!$B$8</c:f>
              <c:numCache>
                <c:formatCode>0</c:formatCode>
                <c:ptCount val="1"/>
                <c:pt idx="0">
                  <c:v>5640</c:v>
                </c:pt>
              </c:numCache>
            </c:numRef>
          </c:val>
        </c:ser>
        <c:dLbls>
          <c:showLegendKey val="0"/>
          <c:showVal val="0"/>
          <c:showCatName val="0"/>
          <c:showSerName val="0"/>
          <c:showPercent val="0"/>
          <c:showBubbleSize val="0"/>
        </c:dLbls>
        <c:gapWidth val="150"/>
        <c:overlap val="100"/>
        <c:axId val="117428608"/>
        <c:axId val="117430144"/>
      </c:barChart>
      <c:catAx>
        <c:axId val="117428608"/>
        <c:scaling>
          <c:orientation val="minMax"/>
        </c:scaling>
        <c:delete val="1"/>
        <c:axPos val="l"/>
        <c:majorTickMark val="out"/>
        <c:minorTickMark val="none"/>
        <c:tickLblPos val="nextTo"/>
        <c:crossAx val="117430144"/>
        <c:crosses val="autoZero"/>
        <c:auto val="1"/>
        <c:lblAlgn val="ctr"/>
        <c:lblOffset val="100"/>
        <c:noMultiLvlLbl val="0"/>
      </c:catAx>
      <c:valAx>
        <c:axId val="117430144"/>
        <c:scaling>
          <c:orientation val="minMax"/>
        </c:scaling>
        <c:delete val="1"/>
        <c:axPos val="b"/>
        <c:numFmt formatCode="0" sourceLinked="1"/>
        <c:majorTickMark val="out"/>
        <c:minorTickMark val="none"/>
        <c:tickLblPos val="nextTo"/>
        <c:crossAx val="117428608"/>
        <c:crosses val="autoZero"/>
        <c:crossBetween val="between"/>
      </c:valAx>
      <c:spPr>
        <a:noFill/>
        <a:ln w="25400">
          <a:noFill/>
        </a:ln>
      </c:spPr>
    </c:plotArea>
    <c:plotVisOnly val="1"/>
    <c:dispBlanksAs val="gap"/>
    <c:showDLblsOverMax val="0"/>
  </c:chart>
  <c:printSettings>
    <c:headerFooter/>
    <c:pageMargins b="0.75" l="0.7" r="0.7" t="0.75" header="0.3" footer="0.3"/>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42"/>
    </mc:Choice>
    <mc:Fallback>
      <c:style val="42"/>
    </mc:Fallback>
  </mc:AlternateContent>
  <c:chart>
    <c:title>
      <c:tx>
        <c:rich>
          <a:bodyPr/>
          <a:lstStyle/>
          <a:p>
            <a:pPr>
              <a:defRPr/>
            </a:pPr>
            <a:r>
              <a:rPr lang="en-US"/>
              <a:t>Incinerador 3 - Alimentação</a:t>
            </a:r>
          </a:p>
        </c:rich>
      </c:tx>
      <c:layout/>
      <c:overlay val="0"/>
    </c:title>
    <c:autoTitleDeleted val="0"/>
    <c:plotArea>
      <c:layout>
        <c:manualLayout>
          <c:layoutTarget val="inner"/>
          <c:xMode val="edge"/>
          <c:yMode val="edge"/>
          <c:x val="2.4691358024691357E-2"/>
          <c:y val="0.32444484748597435"/>
          <c:w val="0.95286195286195285"/>
          <c:h val="0.55961308824621336"/>
        </c:manualLayout>
      </c:layout>
      <c:barChart>
        <c:barDir val="bar"/>
        <c:grouping val="stacked"/>
        <c:varyColors val="0"/>
        <c:ser>
          <c:idx val="0"/>
          <c:order val="0"/>
          <c:invertIfNegative val="0"/>
          <c:dLbls>
            <c:showLegendKey val="0"/>
            <c:showVal val="1"/>
            <c:showCatName val="0"/>
            <c:showSerName val="0"/>
            <c:showPercent val="0"/>
            <c:showBubbleSize val="0"/>
            <c:showLeaderLines val="0"/>
          </c:dLbls>
          <c:val>
            <c:numRef>
              <c:f>'2015 - Ciclo de Operação'!$B$20</c:f>
              <c:numCache>
                <c:formatCode>General</c:formatCode>
                <c:ptCount val="1"/>
                <c:pt idx="0">
                  <c:v>2160</c:v>
                </c:pt>
              </c:numCache>
            </c:numRef>
          </c:val>
        </c:ser>
        <c:ser>
          <c:idx val="1"/>
          <c:order val="1"/>
          <c:invertIfNegative val="0"/>
          <c:dLbls>
            <c:dLbl>
              <c:idx val="0"/>
              <c:layout>
                <c:manualLayout>
                  <c:x val="0"/>
                  <c:y val="-0.1680993819911053"/>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'2015 - Ciclo de Operação'!$I$20</c:f>
              <c:numCache>
                <c:formatCode>0.00</c:formatCode>
                <c:ptCount val="1"/>
                <c:pt idx="0">
                  <c:v>0.33333333333333331</c:v>
                </c:pt>
              </c:numCache>
            </c:numRef>
          </c:val>
        </c:ser>
        <c:ser>
          <c:idx val="2"/>
          <c:order val="2"/>
          <c:invertIfNegative val="0"/>
          <c:dLbls>
            <c:showLegendKey val="0"/>
            <c:showVal val="1"/>
            <c:showCatName val="0"/>
            <c:showSerName val="0"/>
            <c:showPercent val="0"/>
            <c:showBubbleSize val="0"/>
            <c:showLeaderLines val="0"/>
          </c:dLbls>
          <c:val>
            <c:numRef>
              <c:f>'2015 - Ciclo de Operação'!$B$21</c:f>
              <c:numCache>
                <c:formatCode>General</c:formatCode>
                <c:ptCount val="1"/>
                <c:pt idx="0">
                  <c:v>6480</c:v>
                </c:pt>
              </c:numCache>
            </c:numRef>
          </c:val>
        </c:ser>
        <c:dLbls>
          <c:showLegendKey val="0"/>
          <c:showVal val="0"/>
          <c:showCatName val="0"/>
          <c:showSerName val="0"/>
          <c:showPercent val="0"/>
          <c:showBubbleSize val="0"/>
        </c:dLbls>
        <c:gapWidth val="150"/>
        <c:overlap val="100"/>
        <c:axId val="108739968"/>
        <c:axId val="108754048"/>
      </c:barChart>
      <c:catAx>
        <c:axId val="108739968"/>
        <c:scaling>
          <c:orientation val="minMax"/>
        </c:scaling>
        <c:delete val="1"/>
        <c:axPos val="l"/>
        <c:majorTickMark val="out"/>
        <c:minorTickMark val="none"/>
        <c:tickLblPos val="nextTo"/>
        <c:crossAx val="108754048"/>
        <c:crosses val="autoZero"/>
        <c:auto val="1"/>
        <c:lblAlgn val="ctr"/>
        <c:lblOffset val="100"/>
        <c:noMultiLvlLbl val="0"/>
      </c:catAx>
      <c:valAx>
        <c:axId val="108754048"/>
        <c:scaling>
          <c:orientation val="minMax"/>
        </c:scaling>
        <c:delete val="1"/>
        <c:axPos val="b"/>
        <c:numFmt formatCode="General" sourceLinked="1"/>
        <c:majorTickMark val="out"/>
        <c:minorTickMark val="none"/>
        <c:tickLblPos val="nextTo"/>
        <c:crossAx val="108739968"/>
        <c:crosses val="autoZero"/>
        <c:crossBetween val="between"/>
      </c:valAx>
      <c:spPr>
        <a:noFill/>
        <a:ln w="25400">
          <a:noFill/>
        </a:ln>
      </c:spPr>
    </c:plotArea>
    <c:plotVisOnly val="1"/>
    <c:dispBlanksAs val="gap"/>
    <c:showDLblsOverMax val="0"/>
  </c:chart>
  <c:printSettings>
    <c:headerFooter/>
    <c:pageMargins b="0.75" l="0.7" r="0.7" t="0.75" header="0.3" footer="0.3"/>
    <c:pageSetup/>
  </c:printSettings>
  <c:userShapes r:id="rId1"/>
</c:chartSpace>
</file>

<file path=xl/charts/chart110.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42"/>
    </mc:Choice>
    <mc:Fallback>
      <c:style val="42"/>
    </mc:Fallback>
  </mc:AlternateContent>
  <c:chart>
    <c:title>
      <c:tx>
        <c:rich>
          <a:bodyPr/>
          <a:lstStyle/>
          <a:p>
            <a:pPr>
              <a:defRPr/>
            </a:pPr>
            <a:r>
              <a:rPr lang="en-US"/>
              <a:t>Combustivel fossil 41 - Chaminé</a:t>
            </a:r>
          </a:p>
        </c:rich>
      </c:tx>
      <c:layout/>
      <c:overlay val="0"/>
    </c:title>
    <c:autoTitleDeleted val="0"/>
    <c:plotArea>
      <c:layout>
        <c:manualLayout>
          <c:layoutTarget val="inner"/>
          <c:xMode val="edge"/>
          <c:yMode val="edge"/>
          <c:x val="2.4691358024691357E-2"/>
          <c:y val="0.32444484748597435"/>
          <c:w val="0.95286195286195285"/>
          <c:h val="0.55961308824621336"/>
        </c:manualLayout>
      </c:layout>
      <c:barChart>
        <c:barDir val="bar"/>
        <c:grouping val="stacked"/>
        <c:varyColors val="0"/>
        <c:ser>
          <c:idx val="0"/>
          <c:order val="0"/>
          <c:invertIfNegative val="0"/>
          <c:dLbls>
            <c:showLegendKey val="0"/>
            <c:showVal val="1"/>
            <c:showCatName val="0"/>
            <c:showSerName val="0"/>
            <c:showPercent val="0"/>
            <c:showBubbleSize val="0"/>
            <c:showLeaderLines val="0"/>
          </c:dLbls>
          <c:val>
            <c:numRef>
              <c:f>'2010 - Ciclo de Operação'!$B$9</c:f>
              <c:numCache>
                <c:formatCode>0</c:formatCode>
                <c:ptCount val="1"/>
                <c:pt idx="0">
                  <c:v>4944</c:v>
                </c:pt>
              </c:numCache>
            </c:numRef>
          </c:val>
        </c:ser>
        <c:ser>
          <c:idx val="1"/>
          <c:order val="1"/>
          <c:invertIfNegative val="0"/>
          <c:dLbls>
            <c:dLbl>
              <c:idx val="0"/>
              <c:layout>
                <c:manualLayout>
                  <c:x val="2.474526503250495E-3"/>
                  <c:y val="-0.16611399144453773"/>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'2010 - Ciclo de Operação'!$I$9</c:f>
              <c:numCache>
                <c:formatCode>General</c:formatCode>
                <c:ptCount val="1"/>
                <c:pt idx="0">
                  <c:v>180</c:v>
                </c:pt>
              </c:numCache>
            </c:numRef>
          </c:val>
        </c:ser>
        <c:ser>
          <c:idx val="2"/>
          <c:order val="2"/>
          <c:invertIfNegative val="0"/>
          <c:dLbls>
            <c:showLegendKey val="0"/>
            <c:showVal val="1"/>
            <c:showCatName val="0"/>
            <c:showSerName val="0"/>
            <c:showPercent val="0"/>
            <c:showBubbleSize val="0"/>
            <c:showLeaderLines val="0"/>
          </c:dLbls>
          <c:val>
            <c:numRef>
              <c:f>'2010 - Ciclo de Operação'!$B$10</c:f>
              <c:numCache>
                <c:formatCode>0</c:formatCode>
                <c:ptCount val="1"/>
                <c:pt idx="0">
                  <c:v>2016</c:v>
                </c:pt>
              </c:numCache>
            </c:numRef>
          </c:val>
        </c:ser>
        <c:ser>
          <c:idx val="3"/>
          <c:order val="3"/>
          <c:invertIfNegative val="0"/>
          <c:dLbls>
            <c:dLbl>
              <c:idx val="0"/>
              <c:layout>
                <c:manualLayout>
                  <c:x val="0"/>
                  <c:y val="-0.16611399144453773"/>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'2010 - Ciclo de Operação'!$I$10</c:f>
              <c:numCache>
                <c:formatCode>General</c:formatCode>
                <c:ptCount val="1"/>
                <c:pt idx="0">
                  <c:v>60</c:v>
                </c:pt>
              </c:numCache>
            </c:numRef>
          </c:val>
        </c:ser>
        <c:ser>
          <c:idx val="4"/>
          <c:order val="4"/>
          <c:invertIfNegative val="0"/>
          <c:dLbls>
            <c:showLegendKey val="0"/>
            <c:showVal val="1"/>
            <c:showCatName val="0"/>
            <c:showSerName val="0"/>
            <c:showPercent val="0"/>
            <c:showBubbleSize val="0"/>
            <c:showLeaderLines val="0"/>
          </c:dLbls>
          <c:val>
            <c:numRef>
              <c:f>'2010 - Ciclo de Operação'!$B$11</c:f>
              <c:numCache>
                <c:formatCode>0</c:formatCode>
                <c:ptCount val="1"/>
                <c:pt idx="0">
                  <c:v>1680</c:v>
                </c:pt>
              </c:numCache>
            </c:numRef>
          </c:val>
        </c:ser>
        <c:dLbls>
          <c:showLegendKey val="0"/>
          <c:showVal val="0"/>
          <c:showCatName val="0"/>
          <c:showSerName val="0"/>
          <c:showPercent val="0"/>
          <c:showBubbleSize val="0"/>
        </c:dLbls>
        <c:gapWidth val="150"/>
        <c:overlap val="100"/>
        <c:axId val="117489024"/>
        <c:axId val="117503104"/>
      </c:barChart>
      <c:catAx>
        <c:axId val="117489024"/>
        <c:scaling>
          <c:orientation val="minMax"/>
        </c:scaling>
        <c:delete val="1"/>
        <c:axPos val="l"/>
        <c:majorTickMark val="out"/>
        <c:minorTickMark val="none"/>
        <c:tickLblPos val="nextTo"/>
        <c:crossAx val="117503104"/>
        <c:crosses val="autoZero"/>
        <c:auto val="1"/>
        <c:lblAlgn val="ctr"/>
        <c:lblOffset val="100"/>
        <c:noMultiLvlLbl val="0"/>
      </c:catAx>
      <c:valAx>
        <c:axId val="117503104"/>
        <c:scaling>
          <c:orientation val="minMax"/>
        </c:scaling>
        <c:delete val="1"/>
        <c:axPos val="b"/>
        <c:numFmt formatCode="0" sourceLinked="1"/>
        <c:majorTickMark val="out"/>
        <c:minorTickMark val="none"/>
        <c:tickLblPos val="nextTo"/>
        <c:crossAx val="117489024"/>
        <c:crosses val="autoZero"/>
        <c:crossBetween val="between"/>
      </c:valAx>
      <c:spPr>
        <a:noFill/>
        <a:ln w="25400">
          <a:noFill/>
        </a:ln>
      </c:spPr>
    </c:plotArea>
    <c:plotVisOnly val="1"/>
    <c:dispBlanksAs val="gap"/>
    <c:showDLblsOverMax val="0"/>
  </c:chart>
  <c:printSettings>
    <c:headerFooter/>
    <c:pageMargins b="0.75" l="0.7" r="0.7" t="0.75" header="0.3" footer="0.3"/>
    <c:pageSetup/>
  </c:printSettings>
  <c:userShapes r:id="rId1"/>
</c:chartSpace>
</file>

<file path=xl/charts/chart111.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42"/>
    </mc:Choice>
    <mc:Fallback>
      <c:style val="42"/>
    </mc:Fallback>
  </mc:AlternateContent>
  <c:chart>
    <c:title>
      <c:tx>
        <c:rich>
          <a:bodyPr/>
          <a:lstStyle/>
          <a:p>
            <a:pPr>
              <a:defRPr/>
            </a:pPr>
            <a:r>
              <a:rPr lang="en-US"/>
              <a:t>Incinerador 1 - Alimentação</a:t>
            </a:r>
          </a:p>
        </c:rich>
      </c:tx>
      <c:layout/>
      <c:overlay val="0"/>
    </c:title>
    <c:autoTitleDeleted val="0"/>
    <c:plotArea>
      <c:layout>
        <c:manualLayout>
          <c:layoutTarget val="inner"/>
          <c:xMode val="edge"/>
          <c:yMode val="edge"/>
          <c:x val="2.4691358024691357E-2"/>
          <c:y val="0.32444484748597435"/>
          <c:w val="0.95286195286195285"/>
          <c:h val="0.55961308824621336"/>
        </c:manualLayout>
      </c:layout>
      <c:barChart>
        <c:barDir val="bar"/>
        <c:grouping val="stacked"/>
        <c:varyColors val="0"/>
        <c:ser>
          <c:idx val="0"/>
          <c:order val="0"/>
          <c:invertIfNegative val="0"/>
          <c:dLbls>
            <c:showLegendKey val="0"/>
            <c:showVal val="1"/>
            <c:showCatName val="0"/>
            <c:showSerName val="0"/>
            <c:showPercent val="0"/>
            <c:showBubbleSize val="0"/>
            <c:showLeaderLines val="0"/>
          </c:dLbls>
          <c:val>
            <c:numRef>
              <c:f>'2010 - Ciclo de Operação'!$B$12</c:f>
              <c:numCache>
                <c:formatCode>0</c:formatCode>
                <c:ptCount val="1"/>
                <c:pt idx="0">
                  <c:v>768</c:v>
                </c:pt>
              </c:numCache>
            </c:numRef>
          </c:val>
        </c:ser>
        <c:ser>
          <c:idx val="1"/>
          <c:order val="1"/>
          <c:invertIfNegative val="0"/>
          <c:dLbls>
            <c:dLbl>
              <c:idx val="0"/>
              <c:layout>
                <c:manualLayout>
                  <c:x val="0"/>
                  <c:y val="-0.15820380137575021"/>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'2010 - Ciclo de Operação'!$I$12</c:f>
              <c:numCache>
                <c:formatCode>General</c:formatCode>
                <c:ptCount val="1"/>
                <c:pt idx="0">
                  <c:v>240</c:v>
                </c:pt>
              </c:numCache>
            </c:numRef>
          </c:val>
        </c:ser>
        <c:ser>
          <c:idx val="2"/>
          <c:order val="2"/>
          <c:invertIfNegative val="0"/>
          <c:dLbls>
            <c:showLegendKey val="0"/>
            <c:showVal val="1"/>
            <c:showCatName val="0"/>
            <c:showSerName val="0"/>
            <c:showPercent val="0"/>
            <c:showBubbleSize val="0"/>
            <c:showLeaderLines val="0"/>
          </c:dLbls>
          <c:val>
            <c:numRef>
              <c:f>'2010 - Ciclo de Operação'!$B$13</c:f>
              <c:numCache>
                <c:formatCode>0</c:formatCode>
                <c:ptCount val="1"/>
                <c:pt idx="0">
                  <c:v>192</c:v>
                </c:pt>
              </c:numCache>
            </c:numRef>
          </c:val>
        </c:ser>
        <c:ser>
          <c:idx val="3"/>
          <c:order val="3"/>
          <c:invertIfNegative val="0"/>
          <c:dLbls>
            <c:dLbl>
              <c:idx val="0"/>
              <c:layout>
                <c:manualLayout>
                  <c:x val="0"/>
                  <c:y val="-0.16611399144453773"/>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'2010 - Ciclo de Operação'!$I$13</c:f>
              <c:numCache>
                <c:formatCode>General</c:formatCode>
                <c:ptCount val="1"/>
                <c:pt idx="0">
                  <c:v>120</c:v>
                </c:pt>
              </c:numCache>
            </c:numRef>
          </c:val>
        </c:ser>
        <c:ser>
          <c:idx val="4"/>
          <c:order val="4"/>
          <c:invertIfNegative val="0"/>
          <c:dLbls>
            <c:showLegendKey val="0"/>
            <c:showVal val="1"/>
            <c:showCatName val="0"/>
            <c:showSerName val="0"/>
            <c:showPercent val="0"/>
            <c:showBubbleSize val="0"/>
            <c:showLeaderLines val="0"/>
          </c:dLbls>
          <c:val>
            <c:numRef>
              <c:f>'2010 - Ciclo de Operação'!$B$14</c:f>
              <c:numCache>
                <c:formatCode>0</c:formatCode>
                <c:ptCount val="1"/>
                <c:pt idx="0">
                  <c:v>7680</c:v>
                </c:pt>
              </c:numCache>
            </c:numRef>
          </c:val>
        </c:ser>
        <c:dLbls>
          <c:showLegendKey val="0"/>
          <c:showVal val="0"/>
          <c:showCatName val="0"/>
          <c:showSerName val="0"/>
          <c:showPercent val="0"/>
          <c:showBubbleSize val="0"/>
        </c:dLbls>
        <c:gapWidth val="150"/>
        <c:overlap val="100"/>
        <c:axId val="117557888"/>
        <c:axId val="117965184"/>
      </c:barChart>
      <c:catAx>
        <c:axId val="117557888"/>
        <c:scaling>
          <c:orientation val="minMax"/>
        </c:scaling>
        <c:delete val="1"/>
        <c:axPos val="l"/>
        <c:majorTickMark val="out"/>
        <c:minorTickMark val="none"/>
        <c:tickLblPos val="nextTo"/>
        <c:crossAx val="117965184"/>
        <c:crosses val="autoZero"/>
        <c:auto val="1"/>
        <c:lblAlgn val="ctr"/>
        <c:lblOffset val="100"/>
        <c:noMultiLvlLbl val="0"/>
      </c:catAx>
      <c:valAx>
        <c:axId val="117965184"/>
        <c:scaling>
          <c:orientation val="minMax"/>
        </c:scaling>
        <c:delete val="1"/>
        <c:axPos val="b"/>
        <c:numFmt formatCode="0" sourceLinked="1"/>
        <c:majorTickMark val="out"/>
        <c:minorTickMark val="none"/>
        <c:tickLblPos val="nextTo"/>
        <c:crossAx val="117557888"/>
        <c:crosses val="autoZero"/>
        <c:crossBetween val="between"/>
      </c:valAx>
      <c:spPr>
        <a:noFill/>
        <a:ln w="25400">
          <a:noFill/>
        </a:ln>
      </c:spPr>
    </c:plotArea>
    <c:plotVisOnly val="1"/>
    <c:dispBlanksAs val="gap"/>
    <c:showDLblsOverMax val="0"/>
  </c:chart>
  <c:printSettings>
    <c:headerFooter/>
    <c:pageMargins b="0.75" l="0.7" r="0.7" t="0.75" header="0.3" footer="0.3"/>
    <c:pageSetup/>
  </c:printSettings>
  <c:userShapes r:id="rId1"/>
</c:chartSpace>
</file>

<file path=xl/charts/chart112.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42"/>
    </mc:Choice>
    <mc:Fallback>
      <c:style val="42"/>
    </mc:Fallback>
  </mc:AlternateContent>
  <c:chart>
    <c:title>
      <c:tx>
        <c:rich>
          <a:bodyPr/>
          <a:lstStyle/>
          <a:p>
            <a:pPr>
              <a:defRPr/>
            </a:pPr>
            <a:r>
              <a:rPr lang="en-US"/>
              <a:t>Incinerador 2 - Chaminé</a:t>
            </a:r>
          </a:p>
        </c:rich>
      </c:tx>
      <c:layout/>
      <c:overlay val="0"/>
    </c:title>
    <c:autoTitleDeleted val="0"/>
    <c:plotArea>
      <c:layout>
        <c:manualLayout>
          <c:layoutTarget val="inner"/>
          <c:xMode val="edge"/>
          <c:yMode val="edge"/>
          <c:x val="2.4691358024691357E-2"/>
          <c:y val="0.32444484748597435"/>
          <c:w val="0.95286195286195285"/>
          <c:h val="0.55961308824621336"/>
        </c:manualLayout>
      </c:layout>
      <c:barChart>
        <c:barDir val="bar"/>
        <c:grouping val="stacked"/>
        <c:varyColors val="0"/>
        <c:ser>
          <c:idx val="0"/>
          <c:order val="0"/>
          <c:invertIfNegative val="0"/>
          <c:dLbls>
            <c:showLegendKey val="0"/>
            <c:showVal val="1"/>
            <c:showCatName val="0"/>
            <c:showSerName val="0"/>
            <c:showPercent val="0"/>
            <c:showBubbleSize val="0"/>
            <c:showLeaderLines val="0"/>
          </c:dLbls>
          <c:val>
            <c:numRef>
              <c:f>'2010 - Ciclo de Operação'!$B$22</c:f>
              <c:numCache>
                <c:formatCode>0</c:formatCode>
                <c:ptCount val="1"/>
                <c:pt idx="0">
                  <c:v>2352</c:v>
                </c:pt>
              </c:numCache>
            </c:numRef>
          </c:val>
        </c:ser>
        <c:ser>
          <c:idx val="1"/>
          <c:order val="1"/>
          <c:invertIfNegative val="0"/>
          <c:dLbls>
            <c:dLbl>
              <c:idx val="0"/>
              <c:layout>
                <c:manualLayout>
                  <c:x val="0"/>
                  <c:y val="-0.17402418151332524"/>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'2010 - Ciclo de Operação'!$I$22</c:f>
              <c:numCache>
                <c:formatCode>General</c:formatCode>
                <c:ptCount val="1"/>
                <c:pt idx="0">
                  <c:v>300</c:v>
                </c:pt>
              </c:numCache>
            </c:numRef>
          </c:val>
        </c:ser>
        <c:ser>
          <c:idx val="2"/>
          <c:order val="2"/>
          <c:invertIfNegative val="0"/>
          <c:dLbls>
            <c:showLegendKey val="0"/>
            <c:showVal val="1"/>
            <c:showCatName val="0"/>
            <c:showSerName val="0"/>
            <c:showPercent val="0"/>
            <c:showBubbleSize val="0"/>
            <c:showLeaderLines val="0"/>
          </c:dLbls>
          <c:val>
            <c:numRef>
              <c:f>'2010 - Ciclo de Operação'!$B$23</c:f>
              <c:numCache>
                <c:formatCode>0</c:formatCode>
                <c:ptCount val="1"/>
                <c:pt idx="0">
                  <c:v>2688</c:v>
                </c:pt>
              </c:numCache>
            </c:numRef>
          </c:val>
        </c:ser>
        <c:ser>
          <c:idx val="3"/>
          <c:order val="3"/>
          <c:invertIfNegative val="0"/>
          <c:dLbls>
            <c:dLbl>
              <c:idx val="0"/>
              <c:layout>
                <c:manualLayout>
                  <c:x val="0"/>
                  <c:y val="-0.16611399144453773"/>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'2010 - Ciclo de Operação'!$I$23</c:f>
              <c:numCache>
                <c:formatCode>General</c:formatCode>
                <c:ptCount val="1"/>
                <c:pt idx="0">
                  <c:v>120</c:v>
                </c:pt>
              </c:numCache>
            </c:numRef>
          </c:val>
        </c:ser>
        <c:ser>
          <c:idx val="4"/>
          <c:order val="4"/>
          <c:invertIfNegative val="0"/>
          <c:dLbls>
            <c:showLegendKey val="0"/>
            <c:showVal val="1"/>
            <c:showCatName val="0"/>
            <c:showSerName val="0"/>
            <c:showPercent val="0"/>
            <c:showBubbleSize val="0"/>
            <c:showLeaderLines val="0"/>
          </c:dLbls>
          <c:val>
            <c:numRef>
              <c:f>'2010 - Ciclo de Operação'!$B$24</c:f>
              <c:numCache>
                <c:formatCode>0</c:formatCode>
                <c:ptCount val="1"/>
                <c:pt idx="0">
                  <c:v>3600</c:v>
                </c:pt>
              </c:numCache>
            </c:numRef>
          </c:val>
        </c:ser>
        <c:dLbls>
          <c:showLegendKey val="0"/>
          <c:showVal val="0"/>
          <c:showCatName val="0"/>
          <c:showSerName val="0"/>
          <c:showPercent val="0"/>
          <c:showBubbleSize val="0"/>
        </c:dLbls>
        <c:gapWidth val="150"/>
        <c:overlap val="100"/>
        <c:axId val="118011776"/>
        <c:axId val="118013312"/>
      </c:barChart>
      <c:catAx>
        <c:axId val="118011776"/>
        <c:scaling>
          <c:orientation val="minMax"/>
        </c:scaling>
        <c:delete val="1"/>
        <c:axPos val="l"/>
        <c:majorTickMark val="out"/>
        <c:minorTickMark val="none"/>
        <c:tickLblPos val="nextTo"/>
        <c:crossAx val="118013312"/>
        <c:crosses val="autoZero"/>
        <c:auto val="1"/>
        <c:lblAlgn val="ctr"/>
        <c:lblOffset val="100"/>
        <c:noMultiLvlLbl val="0"/>
      </c:catAx>
      <c:valAx>
        <c:axId val="118013312"/>
        <c:scaling>
          <c:orientation val="minMax"/>
        </c:scaling>
        <c:delete val="1"/>
        <c:axPos val="b"/>
        <c:numFmt formatCode="0" sourceLinked="1"/>
        <c:majorTickMark val="out"/>
        <c:minorTickMark val="none"/>
        <c:tickLblPos val="nextTo"/>
        <c:crossAx val="118011776"/>
        <c:crosses val="autoZero"/>
        <c:crossBetween val="between"/>
      </c:valAx>
      <c:spPr>
        <a:noFill/>
        <a:ln w="25400">
          <a:noFill/>
        </a:ln>
      </c:spPr>
    </c:plotArea>
    <c:plotVisOnly val="1"/>
    <c:dispBlanksAs val="gap"/>
    <c:showDLblsOverMax val="0"/>
  </c:chart>
  <c:printSettings>
    <c:headerFooter/>
    <c:pageMargins b="0.75" l="0.7" r="0.7" t="0.75" header="0.3" footer="0.3"/>
    <c:pageSetup/>
  </c:printSettings>
  <c:userShapes r:id="rId1"/>
</c:chartSpace>
</file>

<file path=xl/charts/chart113.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42"/>
    </mc:Choice>
    <mc:Fallback>
      <c:style val="42"/>
    </mc:Fallback>
  </mc:AlternateContent>
  <c:chart>
    <c:title>
      <c:tx>
        <c:rich>
          <a:bodyPr/>
          <a:lstStyle/>
          <a:p>
            <a:pPr>
              <a:defRPr/>
            </a:pPr>
            <a:r>
              <a:rPr lang="en-US"/>
              <a:t>Incinerador 3 - Secador</a:t>
            </a:r>
          </a:p>
        </c:rich>
      </c:tx>
      <c:layout/>
      <c:overlay val="0"/>
    </c:title>
    <c:autoTitleDeleted val="0"/>
    <c:plotArea>
      <c:layout>
        <c:manualLayout>
          <c:layoutTarget val="inner"/>
          <c:xMode val="edge"/>
          <c:yMode val="edge"/>
          <c:x val="2.4691358024691357E-2"/>
          <c:y val="0.32444484748597435"/>
          <c:w val="0.95286195286195285"/>
          <c:h val="0.55961308824621336"/>
        </c:manualLayout>
      </c:layout>
      <c:barChart>
        <c:barDir val="bar"/>
        <c:grouping val="stacked"/>
        <c:varyColors val="0"/>
        <c:ser>
          <c:idx val="0"/>
          <c:order val="0"/>
          <c:invertIfNegative val="0"/>
          <c:dLbls>
            <c:showLegendKey val="0"/>
            <c:showVal val="1"/>
            <c:showCatName val="0"/>
            <c:showSerName val="0"/>
            <c:showPercent val="0"/>
            <c:showBubbleSize val="0"/>
            <c:showLeaderLines val="0"/>
          </c:dLbls>
          <c:val>
            <c:numRef>
              <c:f>'2010 - Ciclo de Operação'!$B$25</c:f>
              <c:numCache>
                <c:formatCode>0</c:formatCode>
                <c:ptCount val="1"/>
                <c:pt idx="0">
                  <c:v>6936</c:v>
                </c:pt>
              </c:numCache>
            </c:numRef>
          </c:val>
        </c:ser>
        <c:ser>
          <c:idx val="1"/>
          <c:order val="1"/>
          <c:invertIfNegative val="0"/>
          <c:dLbls>
            <c:dLbl>
              <c:idx val="0"/>
              <c:layout>
                <c:manualLayout>
                  <c:x val="0"/>
                  <c:y val="-0.17402418151332524"/>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'2010 - Ciclo de Operação'!$I$25</c:f>
              <c:numCache>
                <c:formatCode>General</c:formatCode>
                <c:ptCount val="1"/>
                <c:pt idx="0">
                  <c:v>120</c:v>
                </c:pt>
              </c:numCache>
            </c:numRef>
          </c:val>
        </c:ser>
        <c:ser>
          <c:idx val="2"/>
          <c:order val="2"/>
          <c:invertIfNegative val="0"/>
          <c:dLbls>
            <c:showLegendKey val="0"/>
            <c:showVal val="1"/>
            <c:showCatName val="0"/>
            <c:showSerName val="0"/>
            <c:showPercent val="0"/>
            <c:showBubbleSize val="0"/>
            <c:showLeaderLines val="0"/>
          </c:dLbls>
          <c:val>
            <c:numRef>
              <c:f>'2010 - Ciclo de Operação'!$B$26</c:f>
              <c:numCache>
                <c:formatCode>0</c:formatCode>
                <c:ptCount val="1"/>
                <c:pt idx="0">
                  <c:v>1704</c:v>
                </c:pt>
              </c:numCache>
            </c:numRef>
          </c:val>
        </c:ser>
        <c:dLbls>
          <c:showLegendKey val="0"/>
          <c:showVal val="0"/>
          <c:showCatName val="0"/>
          <c:showSerName val="0"/>
          <c:showPercent val="0"/>
          <c:showBubbleSize val="0"/>
        </c:dLbls>
        <c:gapWidth val="150"/>
        <c:overlap val="100"/>
        <c:axId val="118393472"/>
        <c:axId val="118399360"/>
      </c:barChart>
      <c:catAx>
        <c:axId val="118393472"/>
        <c:scaling>
          <c:orientation val="minMax"/>
        </c:scaling>
        <c:delete val="1"/>
        <c:axPos val="l"/>
        <c:majorTickMark val="out"/>
        <c:minorTickMark val="none"/>
        <c:tickLblPos val="nextTo"/>
        <c:crossAx val="118399360"/>
        <c:crosses val="autoZero"/>
        <c:auto val="1"/>
        <c:lblAlgn val="ctr"/>
        <c:lblOffset val="100"/>
        <c:noMultiLvlLbl val="0"/>
      </c:catAx>
      <c:valAx>
        <c:axId val="118399360"/>
        <c:scaling>
          <c:orientation val="minMax"/>
        </c:scaling>
        <c:delete val="1"/>
        <c:axPos val="b"/>
        <c:numFmt formatCode="0" sourceLinked="1"/>
        <c:majorTickMark val="out"/>
        <c:minorTickMark val="none"/>
        <c:tickLblPos val="nextTo"/>
        <c:crossAx val="118393472"/>
        <c:crosses val="autoZero"/>
        <c:crossBetween val="between"/>
      </c:valAx>
      <c:spPr>
        <a:noFill/>
        <a:ln w="25400">
          <a:noFill/>
        </a:ln>
      </c:spPr>
    </c:plotArea>
    <c:plotVisOnly val="1"/>
    <c:dispBlanksAs val="gap"/>
    <c:showDLblsOverMax val="0"/>
  </c:chart>
  <c:printSettings>
    <c:headerFooter/>
    <c:pageMargins b="0.75" l="0.7" r="0.7" t="0.75" header="0.3" footer="0.3"/>
    <c:pageSetup/>
  </c:printSettings>
  <c:userShapes r:id="rId1"/>
</c:chartSpace>
</file>

<file path=xl/charts/chart114.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42"/>
    </mc:Choice>
    <mc:Fallback>
      <c:style val="42"/>
    </mc:Fallback>
  </mc:AlternateContent>
  <c:chart>
    <c:title>
      <c:tx>
        <c:rich>
          <a:bodyPr/>
          <a:lstStyle/>
          <a:p>
            <a:pPr>
              <a:defRPr/>
            </a:pPr>
            <a:r>
              <a:rPr lang="en-US"/>
              <a:t>Incinerador 3 - Alimentação</a:t>
            </a:r>
          </a:p>
        </c:rich>
      </c:tx>
      <c:layout/>
      <c:overlay val="0"/>
    </c:title>
    <c:autoTitleDeleted val="0"/>
    <c:plotArea>
      <c:layout>
        <c:manualLayout>
          <c:layoutTarget val="inner"/>
          <c:xMode val="edge"/>
          <c:yMode val="edge"/>
          <c:x val="2.4691358024691357E-2"/>
          <c:y val="0.32444484748597435"/>
          <c:w val="0.95286195286195285"/>
          <c:h val="0.55961308824621336"/>
        </c:manualLayout>
      </c:layout>
      <c:barChart>
        <c:barDir val="bar"/>
        <c:grouping val="stacked"/>
        <c:varyColors val="0"/>
        <c:ser>
          <c:idx val="0"/>
          <c:order val="0"/>
          <c:invertIfNegative val="0"/>
          <c:dLbls>
            <c:showLegendKey val="0"/>
            <c:showVal val="1"/>
            <c:showCatName val="0"/>
            <c:showSerName val="0"/>
            <c:showPercent val="0"/>
            <c:showBubbleSize val="0"/>
            <c:showLeaderLines val="0"/>
          </c:dLbls>
          <c:val>
            <c:numRef>
              <c:f>'2010 - Ciclo de Operação'!$B$27</c:f>
              <c:numCache>
                <c:formatCode>0</c:formatCode>
                <c:ptCount val="1"/>
                <c:pt idx="0">
                  <c:v>5760</c:v>
                </c:pt>
              </c:numCache>
            </c:numRef>
          </c:val>
        </c:ser>
        <c:ser>
          <c:idx val="1"/>
          <c:order val="1"/>
          <c:invertIfNegative val="0"/>
          <c:dLbls>
            <c:dLbl>
              <c:idx val="0"/>
              <c:layout>
                <c:manualLayout>
                  <c:x val="-4.5365777478168084E-17"/>
                  <c:y val="-0.16611399144453773"/>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'2010 - Ciclo de Operação'!$I$27</c:f>
              <c:numCache>
                <c:formatCode>General</c:formatCode>
                <c:ptCount val="1"/>
                <c:pt idx="0">
                  <c:v>60</c:v>
                </c:pt>
              </c:numCache>
            </c:numRef>
          </c:val>
        </c:ser>
        <c:ser>
          <c:idx val="2"/>
          <c:order val="2"/>
          <c:invertIfNegative val="0"/>
          <c:dLbls>
            <c:showLegendKey val="0"/>
            <c:showVal val="1"/>
            <c:showCatName val="0"/>
            <c:showSerName val="0"/>
            <c:showPercent val="0"/>
            <c:showBubbleSize val="0"/>
            <c:showLeaderLines val="0"/>
          </c:dLbls>
          <c:val>
            <c:numRef>
              <c:f>'2010 - Ciclo de Operação'!$B$28</c:f>
              <c:numCache>
                <c:formatCode>0</c:formatCode>
                <c:ptCount val="1"/>
                <c:pt idx="0">
                  <c:v>1080</c:v>
                </c:pt>
              </c:numCache>
            </c:numRef>
          </c:val>
        </c:ser>
        <c:ser>
          <c:idx val="3"/>
          <c:order val="3"/>
          <c:invertIfNegative val="0"/>
          <c:dLbls>
            <c:dLbl>
              <c:idx val="0"/>
              <c:layout>
                <c:manualLayout>
                  <c:x val="9.0731554956336167E-17"/>
                  <c:y val="-0.15820380137575021"/>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'2010 - Ciclo de Operação'!$I$28</c:f>
              <c:numCache>
                <c:formatCode>General</c:formatCode>
                <c:ptCount val="1"/>
                <c:pt idx="0">
                  <c:v>240</c:v>
                </c:pt>
              </c:numCache>
            </c:numRef>
          </c:val>
        </c:ser>
        <c:ser>
          <c:idx val="4"/>
          <c:order val="4"/>
          <c:invertIfNegative val="0"/>
          <c:dLbls>
            <c:showLegendKey val="0"/>
            <c:showVal val="1"/>
            <c:showCatName val="0"/>
            <c:showSerName val="0"/>
            <c:showPercent val="0"/>
            <c:showBubbleSize val="0"/>
            <c:showLeaderLines val="0"/>
          </c:dLbls>
          <c:val>
            <c:numRef>
              <c:f>'2010 - Ciclo de Operação'!$B$29</c:f>
              <c:numCache>
                <c:formatCode>0</c:formatCode>
                <c:ptCount val="1"/>
                <c:pt idx="0">
                  <c:v>1800</c:v>
                </c:pt>
              </c:numCache>
            </c:numRef>
          </c:val>
        </c:ser>
        <c:dLbls>
          <c:showLegendKey val="0"/>
          <c:showVal val="0"/>
          <c:showCatName val="0"/>
          <c:showSerName val="0"/>
          <c:showPercent val="0"/>
          <c:showBubbleSize val="0"/>
        </c:dLbls>
        <c:gapWidth val="150"/>
        <c:overlap val="100"/>
        <c:axId val="118470528"/>
        <c:axId val="118472064"/>
      </c:barChart>
      <c:catAx>
        <c:axId val="118470528"/>
        <c:scaling>
          <c:orientation val="minMax"/>
        </c:scaling>
        <c:delete val="1"/>
        <c:axPos val="l"/>
        <c:majorTickMark val="out"/>
        <c:minorTickMark val="none"/>
        <c:tickLblPos val="nextTo"/>
        <c:crossAx val="118472064"/>
        <c:crosses val="autoZero"/>
        <c:auto val="1"/>
        <c:lblAlgn val="ctr"/>
        <c:lblOffset val="100"/>
        <c:noMultiLvlLbl val="0"/>
      </c:catAx>
      <c:valAx>
        <c:axId val="118472064"/>
        <c:scaling>
          <c:orientation val="minMax"/>
        </c:scaling>
        <c:delete val="1"/>
        <c:axPos val="b"/>
        <c:numFmt formatCode="0" sourceLinked="1"/>
        <c:majorTickMark val="out"/>
        <c:minorTickMark val="none"/>
        <c:tickLblPos val="nextTo"/>
        <c:crossAx val="118470528"/>
        <c:crosses val="autoZero"/>
        <c:crossBetween val="between"/>
      </c:valAx>
      <c:spPr>
        <a:noFill/>
        <a:ln w="25400">
          <a:noFill/>
        </a:ln>
      </c:spPr>
    </c:plotArea>
    <c:plotVisOnly val="1"/>
    <c:dispBlanksAs val="gap"/>
    <c:showDLblsOverMax val="0"/>
  </c:chart>
  <c:printSettings>
    <c:headerFooter/>
    <c:pageMargins b="0.75" l="0.7" r="0.7" t="0.75" header="0.3" footer="0.3"/>
    <c:pageSetup/>
  </c:printSettings>
  <c:userShapes r:id="rId1"/>
</c:chartSpace>
</file>

<file path=xl/charts/chart115.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42"/>
    </mc:Choice>
    <mc:Fallback>
      <c:style val="42"/>
    </mc:Fallback>
  </mc:AlternateContent>
  <c:chart>
    <c:title>
      <c:tx>
        <c:rich>
          <a:bodyPr/>
          <a:lstStyle/>
          <a:p>
            <a:pPr>
              <a:defRPr/>
            </a:pPr>
            <a:r>
              <a:rPr lang="en-US"/>
              <a:t>Urb. - Estacionamento auto</a:t>
            </a:r>
          </a:p>
        </c:rich>
      </c:tx>
      <c:layout/>
      <c:overlay val="0"/>
    </c:title>
    <c:autoTitleDeleted val="0"/>
    <c:plotArea>
      <c:layout>
        <c:manualLayout>
          <c:layoutTarget val="inner"/>
          <c:xMode val="edge"/>
          <c:yMode val="edge"/>
          <c:x val="2.4691358024691357E-2"/>
          <c:y val="0.32444484748597435"/>
          <c:w val="0.95286195286195285"/>
          <c:h val="0.55961308824621336"/>
        </c:manualLayout>
      </c:layout>
      <c:barChart>
        <c:barDir val="bar"/>
        <c:grouping val="stacked"/>
        <c:varyColors val="0"/>
        <c:ser>
          <c:idx val="0"/>
          <c:order val="0"/>
          <c:invertIfNegative val="0"/>
          <c:dLbls>
            <c:showLegendKey val="0"/>
            <c:showVal val="1"/>
            <c:showCatName val="0"/>
            <c:showSerName val="0"/>
            <c:showPercent val="0"/>
            <c:showBubbleSize val="0"/>
            <c:showLeaderLines val="0"/>
          </c:dLbls>
          <c:val>
            <c:numRef>
              <c:f>'2010 - Ciclo de Operação'!$B$36</c:f>
              <c:numCache>
                <c:formatCode>0</c:formatCode>
                <c:ptCount val="1"/>
                <c:pt idx="0">
                  <c:v>5280</c:v>
                </c:pt>
              </c:numCache>
            </c:numRef>
          </c:val>
        </c:ser>
        <c:ser>
          <c:idx val="1"/>
          <c:order val="1"/>
          <c:invertIfNegative val="0"/>
          <c:dLbls>
            <c:dLbl>
              <c:idx val="0"/>
              <c:layout>
                <c:manualLayout>
                  <c:x val="0"/>
                  <c:y val="-0.17402418151332524"/>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'2010 - Ciclo de Operação'!$I$36</c:f>
              <c:numCache>
                <c:formatCode>General</c:formatCode>
                <c:ptCount val="1"/>
                <c:pt idx="0">
                  <c:v>180</c:v>
                </c:pt>
              </c:numCache>
            </c:numRef>
          </c:val>
        </c:ser>
        <c:ser>
          <c:idx val="2"/>
          <c:order val="2"/>
          <c:invertIfNegative val="0"/>
          <c:dLbls>
            <c:showLegendKey val="0"/>
            <c:showVal val="1"/>
            <c:showCatName val="0"/>
            <c:showSerName val="0"/>
            <c:showPercent val="0"/>
            <c:showBubbleSize val="0"/>
            <c:showLeaderLines val="0"/>
          </c:dLbls>
          <c:val>
            <c:numRef>
              <c:f>'2010 - Ciclo de Operação'!$B$37</c:f>
              <c:numCache>
                <c:formatCode>0</c:formatCode>
                <c:ptCount val="1"/>
                <c:pt idx="0">
                  <c:v>3360</c:v>
                </c:pt>
              </c:numCache>
            </c:numRef>
          </c:val>
        </c:ser>
        <c:dLbls>
          <c:showLegendKey val="0"/>
          <c:showVal val="0"/>
          <c:showCatName val="0"/>
          <c:showSerName val="0"/>
          <c:showPercent val="0"/>
          <c:showBubbleSize val="0"/>
        </c:dLbls>
        <c:gapWidth val="150"/>
        <c:overlap val="100"/>
        <c:axId val="118520448"/>
        <c:axId val="118526336"/>
      </c:barChart>
      <c:catAx>
        <c:axId val="118520448"/>
        <c:scaling>
          <c:orientation val="minMax"/>
        </c:scaling>
        <c:delete val="1"/>
        <c:axPos val="l"/>
        <c:majorTickMark val="out"/>
        <c:minorTickMark val="none"/>
        <c:tickLblPos val="nextTo"/>
        <c:crossAx val="118526336"/>
        <c:crosses val="autoZero"/>
        <c:auto val="1"/>
        <c:lblAlgn val="ctr"/>
        <c:lblOffset val="100"/>
        <c:noMultiLvlLbl val="0"/>
      </c:catAx>
      <c:valAx>
        <c:axId val="118526336"/>
        <c:scaling>
          <c:orientation val="minMax"/>
        </c:scaling>
        <c:delete val="1"/>
        <c:axPos val="b"/>
        <c:numFmt formatCode="0" sourceLinked="1"/>
        <c:majorTickMark val="out"/>
        <c:minorTickMark val="none"/>
        <c:tickLblPos val="nextTo"/>
        <c:crossAx val="118520448"/>
        <c:crosses val="autoZero"/>
        <c:crossBetween val="between"/>
      </c:valAx>
      <c:spPr>
        <a:noFill/>
        <a:ln w="25400">
          <a:noFill/>
        </a:ln>
      </c:spPr>
    </c:plotArea>
    <c:plotVisOnly val="1"/>
    <c:dispBlanksAs val="gap"/>
    <c:showDLblsOverMax val="0"/>
  </c:chart>
  <c:printSettings>
    <c:headerFooter/>
    <c:pageMargins b="0.75" l="0.7" r="0.7" t="0.75" header="0.3" footer="0.3"/>
    <c:pageSetup/>
  </c:printSettings>
  <c:userShapes r:id="rId1"/>
</c:chartSpace>
</file>

<file path=xl/charts/chart116.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42"/>
    </mc:Choice>
    <mc:Fallback>
      <c:style val="42"/>
    </mc:Fallback>
  </mc:AlternateContent>
  <c:chart>
    <c:title>
      <c:tx>
        <c:rich>
          <a:bodyPr/>
          <a:lstStyle/>
          <a:p>
            <a:pPr>
              <a:defRPr/>
            </a:pPr>
            <a:r>
              <a:rPr lang="en-US"/>
              <a:t>Incinerador 2 - Alimentação</a:t>
            </a:r>
          </a:p>
        </c:rich>
      </c:tx>
      <c:layout/>
      <c:overlay val="0"/>
    </c:title>
    <c:autoTitleDeleted val="0"/>
    <c:plotArea>
      <c:layout>
        <c:manualLayout>
          <c:layoutTarget val="inner"/>
          <c:xMode val="edge"/>
          <c:yMode val="edge"/>
          <c:x val="2.4691358024691357E-2"/>
          <c:y val="0.32444484748597435"/>
          <c:w val="0.95286195286195285"/>
          <c:h val="0.55961308824621336"/>
        </c:manualLayout>
      </c:layout>
      <c:barChart>
        <c:barDir val="bar"/>
        <c:grouping val="stacked"/>
        <c:varyColors val="0"/>
        <c:ser>
          <c:idx val="0"/>
          <c:order val="0"/>
          <c:invertIfNegative val="0"/>
          <c:dLbls>
            <c:showLegendKey val="0"/>
            <c:showVal val="1"/>
            <c:showCatName val="0"/>
            <c:showSerName val="0"/>
            <c:showPercent val="0"/>
            <c:showBubbleSize val="0"/>
            <c:showLeaderLines val="0"/>
          </c:dLbls>
          <c:val>
            <c:numRef>
              <c:f>'2010 - Ciclo de Operação'!$B$17</c:f>
              <c:numCache>
                <c:formatCode>0</c:formatCode>
                <c:ptCount val="1"/>
                <c:pt idx="0">
                  <c:v>504</c:v>
                </c:pt>
              </c:numCache>
            </c:numRef>
          </c:val>
        </c:ser>
        <c:ser>
          <c:idx val="1"/>
          <c:order val="1"/>
          <c:invertIfNegative val="0"/>
          <c:dLbls>
            <c:dLbl>
              <c:idx val="0"/>
              <c:layout>
                <c:manualLayout>
                  <c:x val="0"/>
                  <c:y val="-0.15820380137575021"/>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'2010 - Ciclo de Operação'!$I$17</c:f>
              <c:numCache>
                <c:formatCode>General</c:formatCode>
                <c:ptCount val="1"/>
                <c:pt idx="0">
                  <c:v>240</c:v>
                </c:pt>
              </c:numCache>
            </c:numRef>
          </c:val>
        </c:ser>
        <c:ser>
          <c:idx val="2"/>
          <c:order val="2"/>
          <c:invertIfNegative val="0"/>
          <c:dLbls>
            <c:showLegendKey val="0"/>
            <c:showVal val="1"/>
            <c:showCatName val="0"/>
            <c:showSerName val="0"/>
            <c:showPercent val="0"/>
            <c:showBubbleSize val="0"/>
            <c:showLeaderLines val="0"/>
          </c:dLbls>
          <c:val>
            <c:numRef>
              <c:f>'2010 - Ciclo de Operação'!$B$18</c:f>
              <c:numCache>
                <c:formatCode>0</c:formatCode>
                <c:ptCount val="1"/>
                <c:pt idx="0">
                  <c:v>2424</c:v>
                </c:pt>
              </c:numCache>
            </c:numRef>
          </c:val>
        </c:ser>
        <c:ser>
          <c:idx val="3"/>
          <c:order val="3"/>
          <c:invertIfNegative val="0"/>
          <c:dLbls>
            <c:dLbl>
              <c:idx val="0"/>
              <c:layout>
                <c:manualLayout>
                  <c:x val="2.4745255389545849E-3"/>
                  <c:y val="-0.15820380137575021"/>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'2010 - Ciclo de Operação'!$I$18</c:f>
              <c:numCache>
                <c:formatCode>General</c:formatCode>
                <c:ptCount val="1"/>
                <c:pt idx="0">
                  <c:v>120</c:v>
                </c:pt>
              </c:numCache>
            </c:numRef>
          </c:val>
        </c:ser>
        <c:ser>
          <c:idx val="4"/>
          <c:order val="4"/>
          <c:invertIfNegative val="0"/>
          <c:dLbls>
            <c:showLegendKey val="0"/>
            <c:showVal val="1"/>
            <c:showCatName val="0"/>
            <c:showSerName val="0"/>
            <c:showPercent val="0"/>
            <c:showBubbleSize val="0"/>
            <c:showLeaderLines val="0"/>
          </c:dLbls>
          <c:val>
            <c:numRef>
              <c:f>'2010 - Ciclo de Operação'!$B$19</c:f>
              <c:numCache>
                <c:formatCode>0</c:formatCode>
                <c:ptCount val="1"/>
                <c:pt idx="0">
                  <c:v>3312</c:v>
                </c:pt>
              </c:numCache>
            </c:numRef>
          </c:val>
        </c:ser>
        <c:ser>
          <c:idx val="5"/>
          <c:order val="5"/>
          <c:invertIfNegative val="0"/>
          <c:dLbls>
            <c:dLbl>
              <c:idx val="0"/>
              <c:layout>
                <c:manualLayout>
                  <c:x val="2.4745255389545849E-3"/>
                  <c:y val="-0.15820380137575021"/>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'2010 - Ciclo de Operação'!$I$19</c:f>
              <c:numCache>
                <c:formatCode>General</c:formatCode>
                <c:ptCount val="1"/>
                <c:pt idx="0">
                  <c:v>180</c:v>
                </c:pt>
              </c:numCache>
            </c:numRef>
          </c:val>
        </c:ser>
        <c:ser>
          <c:idx val="6"/>
          <c:order val="6"/>
          <c:invertIfNegative val="0"/>
          <c:dLbls>
            <c:showLegendKey val="0"/>
            <c:showVal val="1"/>
            <c:showCatName val="0"/>
            <c:showSerName val="0"/>
            <c:showPercent val="0"/>
            <c:showBubbleSize val="0"/>
            <c:showLeaderLines val="0"/>
          </c:dLbls>
          <c:val>
            <c:numRef>
              <c:f>'2010 - Ciclo de Operação'!$B$20</c:f>
              <c:numCache>
                <c:formatCode>0</c:formatCode>
                <c:ptCount val="1"/>
                <c:pt idx="0">
                  <c:v>168</c:v>
                </c:pt>
              </c:numCache>
            </c:numRef>
          </c:val>
        </c:ser>
        <c:ser>
          <c:idx val="7"/>
          <c:order val="7"/>
          <c:invertIfNegative val="0"/>
          <c:dLbls>
            <c:dLbl>
              <c:idx val="0"/>
              <c:layout>
                <c:manualLayout>
                  <c:x val="0"/>
                  <c:y val="-0.15820380137575021"/>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'2010 - Ciclo de Operação'!$I$20</c:f>
              <c:numCache>
                <c:formatCode>General</c:formatCode>
                <c:ptCount val="1"/>
                <c:pt idx="0">
                  <c:v>120</c:v>
                </c:pt>
              </c:numCache>
            </c:numRef>
          </c:val>
        </c:ser>
        <c:ser>
          <c:idx val="8"/>
          <c:order val="8"/>
          <c:invertIfNegative val="0"/>
          <c:dLbls>
            <c:showLegendKey val="0"/>
            <c:showVal val="1"/>
            <c:showCatName val="0"/>
            <c:showSerName val="0"/>
            <c:showPercent val="0"/>
            <c:showBubbleSize val="0"/>
            <c:showLeaderLines val="0"/>
          </c:dLbls>
          <c:val>
            <c:numRef>
              <c:f>'2010 - Ciclo de Operação'!$B$21</c:f>
              <c:numCache>
                <c:formatCode>0</c:formatCode>
                <c:ptCount val="1"/>
                <c:pt idx="0">
                  <c:v>2232</c:v>
                </c:pt>
              </c:numCache>
            </c:numRef>
          </c:val>
        </c:ser>
        <c:dLbls>
          <c:showLegendKey val="0"/>
          <c:showVal val="0"/>
          <c:showCatName val="0"/>
          <c:showSerName val="0"/>
          <c:showPercent val="0"/>
          <c:showBubbleSize val="0"/>
        </c:dLbls>
        <c:gapWidth val="150"/>
        <c:overlap val="100"/>
        <c:axId val="118217344"/>
        <c:axId val="118231424"/>
      </c:barChart>
      <c:catAx>
        <c:axId val="118217344"/>
        <c:scaling>
          <c:orientation val="minMax"/>
        </c:scaling>
        <c:delete val="1"/>
        <c:axPos val="l"/>
        <c:majorTickMark val="out"/>
        <c:minorTickMark val="none"/>
        <c:tickLblPos val="nextTo"/>
        <c:crossAx val="118231424"/>
        <c:crosses val="autoZero"/>
        <c:auto val="1"/>
        <c:lblAlgn val="ctr"/>
        <c:lblOffset val="100"/>
        <c:noMultiLvlLbl val="0"/>
      </c:catAx>
      <c:valAx>
        <c:axId val="118231424"/>
        <c:scaling>
          <c:orientation val="minMax"/>
        </c:scaling>
        <c:delete val="1"/>
        <c:axPos val="b"/>
        <c:numFmt formatCode="0" sourceLinked="1"/>
        <c:majorTickMark val="out"/>
        <c:minorTickMark val="none"/>
        <c:tickLblPos val="nextTo"/>
        <c:crossAx val="118217344"/>
        <c:crosses val="autoZero"/>
        <c:crossBetween val="between"/>
      </c:valAx>
      <c:spPr>
        <a:noFill/>
        <a:ln w="25400">
          <a:noFill/>
        </a:ln>
      </c:spPr>
    </c:plotArea>
    <c:plotVisOnly val="1"/>
    <c:dispBlanksAs val="gap"/>
    <c:showDLblsOverMax val="0"/>
  </c:chart>
  <c:printSettings>
    <c:headerFooter/>
    <c:pageMargins b="0.75" l="0.7" r="0.7" t="0.75" header="0.3" footer="0.3"/>
    <c:pageSetup/>
  </c:printSettings>
  <c:userShapes r:id="rId1"/>
</c:chartSpace>
</file>

<file path=xl/charts/chart117.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42"/>
    </mc:Choice>
    <mc:Fallback>
      <c:style val="42"/>
    </mc:Fallback>
  </mc:AlternateContent>
  <c:chart>
    <c:title>
      <c:tx>
        <c:rich>
          <a:bodyPr/>
          <a:lstStyle/>
          <a:p>
            <a:pPr>
              <a:defRPr/>
            </a:pPr>
            <a:r>
              <a:rPr lang="en-US"/>
              <a:t>Incinerador 1 - Chaminé</a:t>
            </a:r>
          </a:p>
        </c:rich>
      </c:tx>
      <c:layout/>
      <c:overlay val="0"/>
    </c:title>
    <c:autoTitleDeleted val="0"/>
    <c:plotArea>
      <c:layout>
        <c:manualLayout>
          <c:layoutTarget val="inner"/>
          <c:xMode val="edge"/>
          <c:yMode val="edge"/>
          <c:x val="2.4691358024691357E-2"/>
          <c:y val="0.32444484748597435"/>
          <c:w val="0.95286195286195285"/>
          <c:h val="0.55961308824621336"/>
        </c:manualLayout>
      </c:layout>
      <c:barChart>
        <c:barDir val="bar"/>
        <c:grouping val="stacked"/>
        <c:varyColors val="0"/>
        <c:ser>
          <c:idx val="0"/>
          <c:order val="0"/>
          <c:invertIfNegative val="0"/>
          <c:dLbls>
            <c:showLegendKey val="0"/>
            <c:showVal val="1"/>
            <c:showCatName val="0"/>
            <c:showSerName val="0"/>
            <c:showPercent val="0"/>
            <c:showBubbleSize val="0"/>
            <c:showLeaderLines val="0"/>
          </c:dLbls>
          <c:val>
            <c:numRef>
              <c:f>'2010 - Ciclo de Operação'!$B$15</c:f>
              <c:numCache>
                <c:formatCode>0</c:formatCode>
                <c:ptCount val="1"/>
                <c:pt idx="0">
                  <c:v>7296</c:v>
                </c:pt>
              </c:numCache>
            </c:numRef>
          </c:val>
        </c:ser>
        <c:ser>
          <c:idx val="1"/>
          <c:order val="1"/>
          <c:invertIfNegative val="0"/>
          <c:dLbls>
            <c:dLbl>
              <c:idx val="0"/>
              <c:layout>
                <c:manualLayout>
                  <c:x val="9.0731572634886855E-17"/>
                  <c:y val="-0.17402418151332524"/>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'2010 - Ciclo de Operação'!$I$15</c:f>
              <c:numCache>
                <c:formatCode>General</c:formatCode>
                <c:ptCount val="1"/>
                <c:pt idx="0">
                  <c:v>480</c:v>
                </c:pt>
              </c:numCache>
            </c:numRef>
          </c:val>
        </c:ser>
        <c:ser>
          <c:idx val="2"/>
          <c:order val="2"/>
          <c:invertIfNegative val="0"/>
          <c:dLbls>
            <c:showLegendKey val="0"/>
            <c:showVal val="1"/>
            <c:showCatName val="0"/>
            <c:showSerName val="0"/>
            <c:showPercent val="0"/>
            <c:showBubbleSize val="0"/>
            <c:showLeaderLines val="0"/>
          </c:dLbls>
          <c:val>
            <c:numRef>
              <c:f>'2010 - Ciclo de Operação'!$B$16</c:f>
              <c:numCache>
                <c:formatCode>0</c:formatCode>
                <c:ptCount val="1"/>
                <c:pt idx="0">
                  <c:v>1344</c:v>
                </c:pt>
              </c:numCache>
            </c:numRef>
          </c:val>
        </c:ser>
        <c:dLbls>
          <c:showLegendKey val="0"/>
          <c:showVal val="0"/>
          <c:showCatName val="0"/>
          <c:showSerName val="0"/>
          <c:showPercent val="0"/>
          <c:showBubbleSize val="0"/>
        </c:dLbls>
        <c:gapWidth val="150"/>
        <c:overlap val="100"/>
        <c:axId val="118254976"/>
        <c:axId val="118264960"/>
      </c:barChart>
      <c:catAx>
        <c:axId val="118254976"/>
        <c:scaling>
          <c:orientation val="minMax"/>
        </c:scaling>
        <c:delete val="1"/>
        <c:axPos val="l"/>
        <c:majorTickMark val="out"/>
        <c:minorTickMark val="none"/>
        <c:tickLblPos val="nextTo"/>
        <c:crossAx val="118264960"/>
        <c:crosses val="autoZero"/>
        <c:auto val="1"/>
        <c:lblAlgn val="ctr"/>
        <c:lblOffset val="100"/>
        <c:noMultiLvlLbl val="0"/>
      </c:catAx>
      <c:valAx>
        <c:axId val="118264960"/>
        <c:scaling>
          <c:orientation val="minMax"/>
        </c:scaling>
        <c:delete val="1"/>
        <c:axPos val="b"/>
        <c:numFmt formatCode="0" sourceLinked="1"/>
        <c:majorTickMark val="out"/>
        <c:minorTickMark val="none"/>
        <c:tickLblPos val="nextTo"/>
        <c:crossAx val="118254976"/>
        <c:crosses val="autoZero"/>
        <c:crossBetween val="between"/>
      </c:valAx>
      <c:spPr>
        <a:noFill/>
        <a:ln w="25400">
          <a:noFill/>
        </a:ln>
      </c:spPr>
    </c:plotArea>
    <c:plotVisOnly val="1"/>
    <c:dispBlanksAs val="gap"/>
    <c:showDLblsOverMax val="0"/>
  </c:chart>
  <c:printSettings>
    <c:headerFooter/>
    <c:pageMargins b="0.75" l="0.7" r="0.7" t="0.75" header="0.3" footer="0.3"/>
    <c:pageSetup/>
  </c:printSettings>
  <c:userShapes r:id="rId1"/>
</c:chartSpace>
</file>

<file path=xl/charts/chart118.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42"/>
    </mc:Choice>
    <mc:Fallback>
      <c:style val="42"/>
    </mc:Fallback>
  </mc:AlternateContent>
  <c:chart>
    <c:title>
      <c:tx>
        <c:rich>
          <a:bodyPr/>
          <a:lstStyle/>
          <a:p>
            <a:pPr>
              <a:defRPr/>
            </a:pPr>
            <a:r>
              <a:rPr lang="en-US"/>
              <a:t>Incinerador 3 - Chaminé</a:t>
            </a:r>
          </a:p>
        </c:rich>
      </c:tx>
      <c:layout/>
      <c:overlay val="0"/>
    </c:title>
    <c:autoTitleDeleted val="0"/>
    <c:plotArea>
      <c:layout>
        <c:manualLayout>
          <c:layoutTarget val="inner"/>
          <c:xMode val="edge"/>
          <c:yMode val="edge"/>
          <c:x val="2.4691358024691357E-2"/>
          <c:y val="0.32444484748597435"/>
          <c:w val="0.95286195286195285"/>
          <c:h val="0.55961308824621336"/>
        </c:manualLayout>
      </c:layout>
      <c:barChart>
        <c:barDir val="bar"/>
        <c:grouping val="stacked"/>
        <c:varyColors val="0"/>
        <c:ser>
          <c:idx val="0"/>
          <c:order val="0"/>
          <c:invertIfNegative val="0"/>
          <c:dLbls>
            <c:showLegendKey val="0"/>
            <c:showVal val="1"/>
            <c:showCatName val="0"/>
            <c:showSerName val="0"/>
            <c:showPercent val="0"/>
            <c:showBubbleSize val="0"/>
            <c:showLeaderLines val="0"/>
          </c:dLbls>
          <c:val>
            <c:numRef>
              <c:f>'2010 - Ciclo de Operação'!$B$30</c:f>
              <c:numCache>
                <c:formatCode>0</c:formatCode>
                <c:ptCount val="1"/>
                <c:pt idx="0">
                  <c:v>1272</c:v>
                </c:pt>
              </c:numCache>
            </c:numRef>
          </c:val>
        </c:ser>
        <c:ser>
          <c:idx val="1"/>
          <c:order val="1"/>
          <c:invertIfNegative val="0"/>
          <c:dLbls>
            <c:dLbl>
              <c:idx val="0"/>
              <c:layout>
                <c:manualLayout>
                  <c:x val="2.4745255389545962E-3"/>
                  <c:y val="-0.16611399144453773"/>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'2010 - Ciclo de Operação'!$I$30</c:f>
              <c:numCache>
                <c:formatCode>General</c:formatCode>
                <c:ptCount val="1"/>
                <c:pt idx="0">
                  <c:v>180</c:v>
                </c:pt>
              </c:numCache>
            </c:numRef>
          </c:val>
        </c:ser>
        <c:ser>
          <c:idx val="2"/>
          <c:order val="2"/>
          <c:invertIfNegative val="0"/>
          <c:dLbls>
            <c:showLegendKey val="0"/>
            <c:showVal val="1"/>
            <c:showCatName val="0"/>
            <c:showSerName val="0"/>
            <c:showPercent val="0"/>
            <c:showBubbleSize val="0"/>
            <c:showLeaderLines val="0"/>
          </c:dLbls>
          <c:val>
            <c:numRef>
              <c:f>'2010 - Ciclo de Operação'!$B$31</c:f>
              <c:numCache>
                <c:formatCode>0</c:formatCode>
                <c:ptCount val="1"/>
                <c:pt idx="0">
                  <c:v>1056</c:v>
                </c:pt>
              </c:numCache>
            </c:numRef>
          </c:val>
        </c:ser>
        <c:ser>
          <c:idx val="3"/>
          <c:order val="3"/>
          <c:invertIfNegative val="0"/>
          <c:dLbls>
            <c:dLbl>
              <c:idx val="0"/>
              <c:layout>
                <c:manualLayout>
                  <c:x val="0"/>
                  <c:y val="-0.16611399144453773"/>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'2010 - Ciclo de Operação'!$I$31</c:f>
              <c:numCache>
                <c:formatCode>General</c:formatCode>
                <c:ptCount val="1"/>
                <c:pt idx="0">
                  <c:v>120</c:v>
                </c:pt>
              </c:numCache>
            </c:numRef>
          </c:val>
        </c:ser>
        <c:ser>
          <c:idx val="4"/>
          <c:order val="4"/>
          <c:invertIfNegative val="0"/>
          <c:dLbls>
            <c:showLegendKey val="0"/>
            <c:showVal val="1"/>
            <c:showCatName val="0"/>
            <c:showSerName val="0"/>
            <c:showPercent val="0"/>
            <c:showBubbleSize val="0"/>
            <c:showLeaderLines val="0"/>
          </c:dLbls>
          <c:val>
            <c:numRef>
              <c:f>'2010 - Ciclo de Operação'!$B$32</c:f>
              <c:numCache>
                <c:formatCode>0</c:formatCode>
                <c:ptCount val="1"/>
                <c:pt idx="0">
                  <c:v>4104</c:v>
                </c:pt>
              </c:numCache>
            </c:numRef>
          </c:val>
        </c:ser>
        <c:ser>
          <c:idx val="5"/>
          <c:order val="5"/>
          <c:invertIfNegative val="0"/>
          <c:dLbls>
            <c:dLbl>
              <c:idx val="0"/>
              <c:layout>
                <c:manualLayout>
                  <c:x val="-9.0731554956336167E-17"/>
                  <c:y val="-0.16611399144453773"/>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'2010 - Ciclo de Operação'!$I$32</c:f>
              <c:numCache>
                <c:formatCode>General</c:formatCode>
                <c:ptCount val="1"/>
                <c:pt idx="0">
                  <c:v>120</c:v>
                </c:pt>
              </c:numCache>
            </c:numRef>
          </c:val>
        </c:ser>
        <c:ser>
          <c:idx val="6"/>
          <c:order val="6"/>
          <c:invertIfNegative val="0"/>
          <c:dLbls>
            <c:showLegendKey val="0"/>
            <c:showVal val="1"/>
            <c:showCatName val="0"/>
            <c:showSerName val="0"/>
            <c:showPercent val="0"/>
            <c:showBubbleSize val="0"/>
            <c:showLeaderLines val="0"/>
          </c:dLbls>
          <c:val>
            <c:numRef>
              <c:f>'2010 - Ciclo de Operação'!$B$33</c:f>
              <c:numCache>
                <c:formatCode>0</c:formatCode>
                <c:ptCount val="1"/>
                <c:pt idx="0">
                  <c:v>2208</c:v>
                </c:pt>
              </c:numCache>
            </c:numRef>
          </c:val>
        </c:ser>
        <c:dLbls>
          <c:showLegendKey val="0"/>
          <c:showVal val="0"/>
          <c:showCatName val="0"/>
          <c:showSerName val="0"/>
          <c:showPercent val="0"/>
          <c:showBubbleSize val="0"/>
        </c:dLbls>
        <c:gapWidth val="150"/>
        <c:overlap val="100"/>
        <c:axId val="118338688"/>
        <c:axId val="118340224"/>
      </c:barChart>
      <c:catAx>
        <c:axId val="118338688"/>
        <c:scaling>
          <c:orientation val="minMax"/>
        </c:scaling>
        <c:delete val="1"/>
        <c:axPos val="l"/>
        <c:majorTickMark val="out"/>
        <c:minorTickMark val="none"/>
        <c:tickLblPos val="nextTo"/>
        <c:crossAx val="118340224"/>
        <c:crosses val="autoZero"/>
        <c:auto val="1"/>
        <c:lblAlgn val="ctr"/>
        <c:lblOffset val="100"/>
        <c:noMultiLvlLbl val="0"/>
      </c:catAx>
      <c:valAx>
        <c:axId val="118340224"/>
        <c:scaling>
          <c:orientation val="minMax"/>
        </c:scaling>
        <c:delete val="1"/>
        <c:axPos val="b"/>
        <c:numFmt formatCode="0" sourceLinked="1"/>
        <c:majorTickMark val="out"/>
        <c:minorTickMark val="none"/>
        <c:tickLblPos val="nextTo"/>
        <c:crossAx val="118338688"/>
        <c:crosses val="autoZero"/>
        <c:crossBetween val="between"/>
      </c:valAx>
      <c:spPr>
        <a:noFill/>
        <a:ln w="25400">
          <a:noFill/>
        </a:ln>
      </c:spPr>
    </c:plotArea>
    <c:plotVisOnly val="1"/>
    <c:dispBlanksAs val="gap"/>
    <c:showDLblsOverMax val="0"/>
  </c:chart>
  <c:printSettings>
    <c:headerFooter/>
    <c:pageMargins b="0.75" l="0.7" r="0.7" t="0.75" header="0.3" footer="0.3"/>
    <c:pageSetup/>
  </c:printSettings>
  <c:userShapes r:id="rId1"/>
</c:chartSpace>
</file>

<file path=xl/charts/chart119.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42"/>
    </mc:Choice>
    <mc:Fallback>
      <c:style val="42"/>
    </mc:Fallback>
  </mc:AlternateContent>
  <c:chart>
    <c:title>
      <c:tx>
        <c:rich>
          <a:bodyPr/>
          <a:lstStyle/>
          <a:p>
            <a:pPr>
              <a:defRPr/>
            </a:pPr>
            <a:r>
              <a:rPr lang="en-US"/>
              <a:t>Incinerador 3 - Aquecedor</a:t>
            </a:r>
          </a:p>
        </c:rich>
      </c:tx>
      <c:layout/>
      <c:overlay val="0"/>
    </c:title>
    <c:autoTitleDeleted val="0"/>
    <c:plotArea>
      <c:layout>
        <c:manualLayout>
          <c:layoutTarget val="inner"/>
          <c:xMode val="edge"/>
          <c:yMode val="edge"/>
          <c:x val="2.4691358024691357E-2"/>
          <c:y val="0.32444484748597435"/>
          <c:w val="0.95286195286195285"/>
          <c:h val="0.55961308824621336"/>
        </c:manualLayout>
      </c:layout>
      <c:barChart>
        <c:barDir val="bar"/>
        <c:grouping val="stacked"/>
        <c:varyColors val="0"/>
        <c:ser>
          <c:idx val="0"/>
          <c:order val="0"/>
          <c:invertIfNegative val="0"/>
          <c:dLbls>
            <c:showLegendKey val="0"/>
            <c:showVal val="1"/>
            <c:showCatName val="0"/>
            <c:showSerName val="0"/>
            <c:showPercent val="0"/>
            <c:showBubbleSize val="0"/>
            <c:showLeaderLines val="0"/>
          </c:dLbls>
          <c:val>
            <c:numRef>
              <c:f>'2010 - Ciclo de Operação'!$B$34</c:f>
              <c:numCache>
                <c:formatCode>0</c:formatCode>
                <c:ptCount val="1"/>
                <c:pt idx="0">
                  <c:v>7416</c:v>
                </c:pt>
              </c:numCache>
            </c:numRef>
          </c:val>
        </c:ser>
        <c:ser>
          <c:idx val="1"/>
          <c:order val="1"/>
          <c:invertIfNegative val="0"/>
          <c:dLbls>
            <c:dLbl>
              <c:idx val="0"/>
              <c:layout>
                <c:manualLayout>
                  <c:x val="-4.5365777478168084E-17"/>
                  <c:y val="-0.17402418151332524"/>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'2010 - Ciclo de Operação'!$I$34</c:f>
              <c:numCache>
                <c:formatCode>General</c:formatCode>
                <c:ptCount val="1"/>
                <c:pt idx="0">
                  <c:v>120</c:v>
                </c:pt>
              </c:numCache>
            </c:numRef>
          </c:val>
        </c:ser>
        <c:ser>
          <c:idx val="2"/>
          <c:order val="2"/>
          <c:invertIfNegative val="0"/>
          <c:dLbls>
            <c:showLegendKey val="0"/>
            <c:showVal val="1"/>
            <c:showCatName val="0"/>
            <c:showSerName val="0"/>
            <c:showPercent val="0"/>
            <c:showBubbleSize val="0"/>
            <c:showLeaderLines val="0"/>
          </c:dLbls>
          <c:val>
            <c:numRef>
              <c:f>'2010 - Ciclo de Operação'!$B$35</c:f>
              <c:numCache>
                <c:formatCode>0</c:formatCode>
                <c:ptCount val="1"/>
                <c:pt idx="0">
                  <c:v>1224</c:v>
                </c:pt>
              </c:numCache>
            </c:numRef>
          </c:val>
        </c:ser>
        <c:dLbls>
          <c:showLegendKey val="0"/>
          <c:showVal val="0"/>
          <c:showCatName val="0"/>
          <c:showSerName val="0"/>
          <c:showPercent val="0"/>
          <c:showBubbleSize val="0"/>
        </c:dLbls>
        <c:gapWidth val="150"/>
        <c:overlap val="100"/>
        <c:axId val="118830976"/>
        <c:axId val="118832512"/>
      </c:barChart>
      <c:catAx>
        <c:axId val="118830976"/>
        <c:scaling>
          <c:orientation val="minMax"/>
        </c:scaling>
        <c:delete val="1"/>
        <c:axPos val="l"/>
        <c:majorTickMark val="out"/>
        <c:minorTickMark val="none"/>
        <c:tickLblPos val="nextTo"/>
        <c:crossAx val="118832512"/>
        <c:crosses val="autoZero"/>
        <c:auto val="1"/>
        <c:lblAlgn val="ctr"/>
        <c:lblOffset val="100"/>
        <c:noMultiLvlLbl val="0"/>
      </c:catAx>
      <c:valAx>
        <c:axId val="118832512"/>
        <c:scaling>
          <c:orientation val="minMax"/>
        </c:scaling>
        <c:delete val="1"/>
        <c:axPos val="b"/>
        <c:numFmt formatCode="0" sourceLinked="1"/>
        <c:majorTickMark val="out"/>
        <c:minorTickMark val="none"/>
        <c:tickLblPos val="nextTo"/>
        <c:crossAx val="118830976"/>
        <c:crosses val="autoZero"/>
        <c:crossBetween val="between"/>
      </c:valAx>
      <c:spPr>
        <a:noFill/>
        <a:ln w="25400">
          <a:noFill/>
        </a:ln>
      </c:spPr>
    </c:plotArea>
    <c:plotVisOnly val="1"/>
    <c:dispBlanksAs val="gap"/>
    <c:showDLblsOverMax val="0"/>
  </c:chart>
  <c:printSettings>
    <c:headerFooter/>
    <c:pageMargins b="0.75" l="0.7" r="0.7" t="0.75" header="0.3" footer="0.3"/>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42"/>
    </mc:Choice>
    <mc:Fallback>
      <c:style val="42"/>
    </mc:Fallback>
  </mc:AlternateContent>
  <c:chart>
    <c:title>
      <c:tx>
        <c:rich>
          <a:bodyPr/>
          <a:lstStyle/>
          <a:p>
            <a:pPr>
              <a:defRPr/>
            </a:pPr>
            <a:r>
              <a:rPr lang="en-US"/>
              <a:t>Incinerador 3 - Chaminé</a:t>
            </a:r>
          </a:p>
        </c:rich>
      </c:tx>
      <c:layout/>
      <c:overlay val="0"/>
    </c:title>
    <c:autoTitleDeleted val="0"/>
    <c:plotArea>
      <c:layout>
        <c:manualLayout>
          <c:layoutTarget val="inner"/>
          <c:xMode val="edge"/>
          <c:yMode val="edge"/>
          <c:x val="2.4691358024691357E-2"/>
          <c:y val="0.32444484748597435"/>
          <c:w val="0.95286195286195285"/>
          <c:h val="0.55961308824621336"/>
        </c:manualLayout>
      </c:layout>
      <c:barChart>
        <c:barDir val="bar"/>
        <c:grouping val="stacked"/>
        <c:varyColors val="0"/>
        <c:ser>
          <c:idx val="0"/>
          <c:order val="0"/>
          <c:invertIfNegative val="0"/>
          <c:dLbls>
            <c:showLegendKey val="0"/>
            <c:showVal val="1"/>
            <c:showCatName val="0"/>
            <c:showSerName val="0"/>
            <c:showPercent val="0"/>
            <c:showBubbleSize val="0"/>
            <c:showLeaderLines val="0"/>
          </c:dLbls>
          <c:val>
            <c:numRef>
              <c:f>'2015 - Ciclo de Operação'!$B$22</c:f>
              <c:numCache>
                <c:formatCode>General</c:formatCode>
                <c:ptCount val="1"/>
                <c:pt idx="0">
                  <c:v>672</c:v>
                </c:pt>
              </c:numCache>
            </c:numRef>
          </c:val>
        </c:ser>
        <c:ser>
          <c:idx val="1"/>
          <c:order val="1"/>
          <c:invertIfNegative val="0"/>
          <c:dLbls>
            <c:dLbl>
              <c:idx val="0"/>
              <c:layout>
                <c:manualLayout>
                  <c:x val="2.3513271575509539E-3"/>
                  <c:y val="-0.1680993819911053"/>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'2015 - Ciclo de Operação'!$I$22</c:f>
              <c:numCache>
                <c:formatCode>0.00</c:formatCode>
                <c:ptCount val="1"/>
                <c:pt idx="0">
                  <c:v>0.33333333333333331</c:v>
                </c:pt>
              </c:numCache>
            </c:numRef>
          </c:val>
        </c:ser>
        <c:ser>
          <c:idx val="2"/>
          <c:order val="2"/>
          <c:invertIfNegative val="0"/>
          <c:dLbls>
            <c:showLegendKey val="0"/>
            <c:showVal val="1"/>
            <c:showCatName val="0"/>
            <c:showSerName val="0"/>
            <c:showPercent val="0"/>
            <c:showBubbleSize val="0"/>
            <c:showLeaderLines val="0"/>
          </c:dLbls>
          <c:val>
            <c:numRef>
              <c:f>'2015 - Ciclo de Operação'!$B$23</c:f>
              <c:numCache>
                <c:formatCode>General</c:formatCode>
                <c:ptCount val="1"/>
                <c:pt idx="0">
                  <c:v>888</c:v>
                </c:pt>
              </c:numCache>
            </c:numRef>
          </c:val>
        </c:ser>
        <c:ser>
          <c:idx val="3"/>
          <c:order val="3"/>
          <c:invertIfNegative val="0"/>
          <c:dLbls>
            <c:dLbl>
              <c:idx val="0"/>
              <c:layout>
                <c:manualLayout>
                  <c:x val="0"/>
                  <c:y val="-0.17574026299070097"/>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'2015 - Ciclo de Operação'!$I$23</c:f>
              <c:numCache>
                <c:formatCode>0.00</c:formatCode>
                <c:ptCount val="1"/>
                <c:pt idx="0">
                  <c:v>0.83333333333333337</c:v>
                </c:pt>
              </c:numCache>
            </c:numRef>
          </c:val>
        </c:ser>
        <c:ser>
          <c:idx val="4"/>
          <c:order val="4"/>
          <c:invertIfNegative val="0"/>
          <c:dLbls>
            <c:showLegendKey val="0"/>
            <c:showVal val="1"/>
            <c:showCatName val="0"/>
            <c:showSerName val="0"/>
            <c:showPercent val="0"/>
            <c:showBubbleSize val="0"/>
            <c:showLeaderLines val="0"/>
          </c:dLbls>
          <c:val>
            <c:numRef>
              <c:f>'2015 - Ciclo de Operação'!$B$24</c:f>
              <c:numCache>
                <c:formatCode>General</c:formatCode>
                <c:ptCount val="1"/>
                <c:pt idx="0">
                  <c:v>3216</c:v>
                </c:pt>
              </c:numCache>
            </c:numRef>
          </c:val>
        </c:ser>
        <c:ser>
          <c:idx val="5"/>
          <c:order val="5"/>
          <c:invertIfNegative val="0"/>
          <c:dLbls>
            <c:dLbl>
              <c:idx val="0"/>
              <c:layout>
                <c:manualLayout>
                  <c:x val="4.3107166577434041E-17"/>
                  <c:y val="-0.17574026299070106"/>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'2015 - Ciclo de Operação'!$I$24</c:f>
              <c:numCache>
                <c:formatCode>General</c:formatCode>
                <c:ptCount val="1"/>
                <c:pt idx="0">
                  <c:v>2</c:v>
                </c:pt>
              </c:numCache>
            </c:numRef>
          </c:val>
        </c:ser>
        <c:ser>
          <c:idx val="6"/>
          <c:order val="6"/>
          <c:invertIfNegative val="0"/>
          <c:dLbls>
            <c:showLegendKey val="0"/>
            <c:showVal val="1"/>
            <c:showCatName val="0"/>
            <c:showSerName val="0"/>
            <c:showPercent val="0"/>
            <c:showBubbleSize val="0"/>
            <c:showLeaderLines val="0"/>
          </c:dLbls>
          <c:val>
            <c:numRef>
              <c:f>'2015 - Ciclo de Operação'!$B$25</c:f>
              <c:numCache>
                <c:formatCode>General</c:formatCode>
                <c:ptCount val="1"/>
                <c:pt idx="0">
                  <c:v>360</c:v>
                </c:pt>
              </c:numCache>
            </c:numRef>
          </c:val>
        </c:ser>
        <c:ser>
          <c:idx val="7"/>
          <c:order val="7"/>
          <c:invertIfNegative val="0"/>
          <c:dLbls>
            <c:dLbl>
              <c:idx val="0"/>
              <c:layout>
                <c:manualLayout>
                  <c:x val="0"/>
                  <c:y val="-0.17574026299070097"/>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'2015 - Ciclo de Operação'!$I$25</c:f>
              <c:numCache>
                <c:formatCode>General</c:formatCode>
                <c:ptCount val="1"/>
                <c:pt idx="0">
                  <c:v>0.5</c:v>
                </c:pt>
              </c:numCache>
            </c:numRef>
          </c:val>
        </c:ser>
        <c:ser>
          <c:idx val="8"/>
          <c:order val="8"/>
          <c:invertIfNegative val="0"/>
          <c:dLbls>
            <c:showLegendKey val="0"/>
            <c:showVal val="1"/>
            <c:showCatName val="0"/>
            <c:showSerName val="0"/>
            <c:showPercent val="0"/>
            <c:showBubbleSize val="0"/>
            <c:showLeaderLines val="0"/>
          </c:dLbls>
          <c:val>
            <c:numRef>
              <c:f>'2015 - Ciclo de Operação'!$B$26</c:f>
              <c:numCache>
                <c:formatCode>General</c:formatCode>
                <c:ptCount val="1"/>
                <c:pt idx="0">
                  <c:v>2616</c:v>
                </c:pt>
              </c:numCache>
            </c:numRef>
          </c:val>
        </c:ser>
        <c:ser>
          <c:idx val="9"/>
          <c:order val="9"/>
          <c:invertIfNegative val="0"/>
          <c:dLbls>
            <c:dLbl>
              <c:idx val="0"/>
              <c:layout>
                <c:manualLayout>
                  <c:x val="-2.3515123014216273E-3"/>
                  <c:y val="-0.1680993819911053"/>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'2015 - Ciclo de Operação'!$I$26</c:f>
              <c:numCache>
                <c:formatCode>General</c:formatCode>
                <c:ptCount val="1"/>
                <c:pt idx="0">
                  <c:v>2</c:v>
                </c:pt>
              </c:numCache>
            </c:numRef>
          </c:val>
        </c:ser>
        <c:ser>
          <c:idx val="10"/>
          <c:order val="10"/>
          <c:invertIfNegative val="0"/>
          <c:dLbls>
            <c:showLegendKey val="0"/>
            <c:showVal val="1"/>
            <c:showCatName val="0"/>
            <c:showSerName val="0"/>
            <c:showPercent val="0"/>
            <c:showBubbleSize val="0"/>
            <c:showLeaderLines val="0"/>
          </c:dLbls>
          <c:val>
            <c:numRef>
              <c:f>'2015 - Ciclo de Operação'!$B$27</c:f>
              <c:numCache>
                <c:formatCode>General</c:formatCode>
                <c:ptCount val="1"/>
                <c:pt idx="0">
                  <c:v>888</c:v>
                </c:pt>
              </c:numCache>
            </c:numRef>
          </c:val>
        </c:ser>
        <c:dLbls>
          <c:showLegendKey val="0"/>
          <c:showVal val="0"/>
          <c:showCatName val="0"/>
          <c:showSerName val="0"/>
          <c:showPercent val="0"/>
          <c:showBubbleSize val="0"/>
        </c:dLbls>
        <c:gapWidth val="150"/>
        <c:overlap val="100"/>
        <c:axId val="108918656"/>
        <c:axId val="108920192"/>
      </c:barChart>
      <c:catAx>
        <c:axId val="108918656"/>
        <c:scaling>
          <c:orientation val="minMax"/>
        </c:scaling>
        <c:delete val="1"/>
        <c:axPos val="l"/>
        <c:majorTickMark val="out"/>
        <c:minorTickMark val="none"/>
        <c:tickLblPos val="nextTo"/>
        <c:crossAx val="108920192"/>
        <c:crosses val="autoZero"/>
        <c:auto val="1"/>
        <c:lblAlgn val="ctr"/>
        <c:lblOffset val="100"/>
        <c:noMultiLvlLbl val="0"/>
      </c:catAx>
      <c:valAx>
        <c:axId val="108920192"/>
        <c:scaling>
          <c:orientation val="minMax"/>
        </c:scaling>
        <c:delete val="1"/>
        <c:axPos val="b"/>
        <c:numFmt formatCode="General" sourceLinked="1"/>
        <c:majorTickMark val="out"/>
        <c:minorTickMark val="none"/>
        <c:tickLblPos val="nextTo"/>
        <c:crossAx val="108918656"/>
        <c:crosses val="autoZero"/>
        <c:crossBetween val="between"/>
      </c:valAx>
      <c:spPr>
        <a:noFill/>
        <a:ln w="25400">
          <a:noFill/>
        </a:ln>
      </c:spPr>
    </c:plotArea>
    <c:plotVisOnly val="1"/>
    <c:dispBlanksAs val="gap"/>
    <c:showDLblsOverMax val="0"/>
  </c:chart>
  <c:printSettings>
    <c:headerFooter/>
    <c:pageMargins b="0.75" l="0.7" r="0.7" t="0.75" header="0.3" footer="0.3"/>
    <c:pageSetup/>
  </c:printSettings>
  <c:userShapes r:id="rId1"/>
</c:chartSpace>
</file>

<file path=xl/charts/chart120.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pt-PT"/>
              <a:t>Forno</a:t>
            </a:r>
            <a:r>
              <a:rPr lang="pt-PT" baseline="0"/>
              <a:t> 2 - Câmara de Fumos</a:t>
            </a:r>
            <a:endParaRPr lang="pt-PT"/>
          </a:p>
        </c:rich>
      </c:tx>
      <c:layout/>
      <c:overlay val="0"/>
    </c:title>
    <c:autoTitleDeleted val="0"/>
    <c:plotArea>
      <c:layout/>
      <c:lineChart>
        <c:grouping val="standard"/>
        <c:varyColors val="0"/>
        <c:ser>
          <c:idx val="0"/>
          <c:order val="0"/>
          <c:tx>
            <c:v>2010</c:v>
          </c:tx>
          <c:marker>
            <c:symbol val="none"/>
          </c:marker>
          <c:cat>
            <c:numRef>
              <c:f>'Inciner 2 - Total - Exponencial'!$AJ$6:$AJ$79</c:f>
              <c:numCache>
                <c:formatCode>General</c:formatCode>
                <c:ptCount val="74"/>
                <c:pt idx="0">
                  <c:v>1</c:v>
                </c:pt>
                <c:pt idx="1">
                  <c:v>6</c:v>
                </c:pt>
                <c:pt idx="2">
                  <c:v>11</c:v>
                </c:pt>
                <c:pt idx="3">
                  <c:v>16</c:v>
                </c:pt>
                <c:pt idx="4">
                  <c:v>21</c:v>
                </c:pt>
                <c:pt idx="5">
                  <c:v>26</c:v>
                </c:pt>
                <c:pt idx="6">
                  <c:v>31</c:v>
                </c:pt>
                <c:pt idx="7">
                  <c:v>36</c:v>
                </c:pt>
                <c:pt idx="8">
                  <c:v>41</c:v>
                </c:pt>
                <c:pt idx="9">
                  <c:v>46</c:v>
                </c:pt>
                <c:pt idx="10">
                  <c:v>51</c:v>
                </c:pt>
                <c:pt idx="11">
                  <c:v>56</c:v>
                </c:pt>
                <c:pt idx="12">
                  <c:v>61</c:v>
                </c:pt>
                <c:pt idx="13">
                  <c:v>66</c:v>
                </c:pt>
                <c:pt idx="14">
                  <c:v>71</c:v>
                </c:pt>
                <c:pt idx="15">
                  <c:v>76</c:v>
                </c:pt>
                <c:pt idx="16">
                  <c:v>81</c:v>
                </c:pt>
                <c:pt idx="17">
                  <c:v>86</c:v>
                </c:pt>
                <c:pt idx="18">
                  <c:v>91</c:v>
                </c:pt>
                <c:pt idx="19">
                  <c:v>96</c:v>
                </c:pt>
                <c:pt idx="20">
                  <c:v>101</c:v>
                </c:pt>
                <c:pt idx="21">
                  <c:v>106</c:v>
                </c:pt>
                <c:pt idx="22">
                  <c:v>111</c:v>
                </c:pt>
                <c:pt idx="23">
                  <c:v>116</c:v>
                </c:pt>
                <c:pt idx="24">
                  <c:v>121</c:v>
                </c:pt>
                <c:pt idx="25">
                  <c:v>126</c:v>
                </c:pt>
                <c:pt idx="26">
                  <c:v>131</c:v>
                </c:pt>
                <c:pt idx="27">
                  <c:v>136</c:v>
                </c:pt>
                <c:pt idx="28">
                  <c:v>141</c:v>
                </c:pt>
                <c:pt idx="29">
                  <c:v>146</c:v>
                </c:pt>
                <c:pt idx="30">
                  <c:v>151</c:v>
                </c:pt>
                <c:pt idx="31">
                  <c:v>156</c:v>
                </c:pt>
                <c:pt idx="32">
                  <c:v>161</c:v>
                </c:pt>
                <c:pt idx="33">
                  <c:v>166</c:v>
                </c:pt>
                <c:pt idx="34">
                  <c:v>171</c:v>
                </c:pt>
                <c:pt idx="35">
                  <c:v>176</c:v>
                </c:pt>
                <c:pt idx="36">
                  <c:v>181</c:v>
                </c:pt>
                <c:pt idx="37">
                  <c:v>186</c:v>
                </c:pt>
                <c:pt idx="38">
                  <c:v>191</c:v>
                </c:pt>
                <c:pt idx="39">
                  <c:v>196</c:v>
                </c:pt>
                <c:pt idx="40">
                  <c:v>201</c:v>
                </c:pt>
                <c:pt idx="41">
                  <c:v>206</c:v>
                </c:pt>
                <c:pt idx="42">
                  <c:v>211</c:v>
                </c:pt>
                <c:pt idx="43">
                  <c:v>216</c:v>
                </c:pt>
                <c:pt idx="44">
                  <c:v>221</c:v>
                </c:pt>
                <c:pt idx="45">
                  <c:v>226</c:v>
                </c:pt>
                <c:pt idx="46">
                  <c:v>231</c:v>
                </c:pt>
                <c:pt idx="47">
                  <c:v>236</c:v>
                </c:pt>
                <c:pt idx="48">
                  <c:v>241</c:v>
                </c:pt>
                <c:pt idx="49">
                  <c:v>246</c:v>
                </c:pt>
                <c:pt idx="50">
                  <c:v>251</c:v>
                </c:pt>
                <c:pt idx="51">
                  <c:v>256</c:v>
                </c:pt>
                <c:pt idx="52">
                  <c:v>261</c:v>
                </c:pt>
                <c:pt idx="53">
                  <c:v>266</c:v>
                </c:pt>
                <c:pt idx="54">
                  <c:v>271</c:v>
                </c:pt>
                <c:pt idx="55">
                  <c:v>276</c:v>
                </c:pt>
                <c:pt idx="56">
                  <c:v>281</c:v>
                </c:pt>
                <c:pt idx="57">
                  <c:v>286</c:v>
                </c:pt>
                <c:pt idx="58">
                  <c:v>291</c:v>
                </c:pt>
                <c:pt idx="59">
                  <c:v>296</c:v>
                </c:pt>
                <c:pt idx="60">
                  <c:v>301</c:v>
                </c:pt>
                <c:pt idx="61">
                  <c:v>306</c:v>
                </c:pt>
                <c:pt idx="62">
                  <c:v>311</c:v>
                </c:pt>
                <c:pt idx="63">
                  <c:v>316</c:v>
                </c:pt>
                <c:pt idx="64">
                  <c:v>321</c:v>
                </c:pt>
                <c:pt idx="65">
                  <c:v>326</c:v>
                </c:pt>
                <c:pt idx="66">
                  <c:v>331</c:v>
                </c:pt>
                <c:pt idx="67">
                  <c:v>336</c:v>
                </c:pt>
                <c:pt idx="68">
                  <c:v>341</c:v>
                </c:pt>
                <c:pt idx="69">
                  <c:v>346</c:v>
                </c:pt>
                <c:pt idx="70">
                  <c:v>351</c:v>
                </c:pt>
                <c:pt idx="71">
                  <c:v>356</c:v>
                </c:pt>
                <c:pt idx="72">
                  <c:v>361</c:v>
                </c:pt>
                <c:pt idx="73">
                  <c:v>366</c:v>
                </c:pt>
              </c:numCache>
            </c:numRef>
          </c:cat>
          <c:val>
            <c:numRef>
              <c:f>'Inciner 2 - Total - Exponencial'!$AK$6:$AK$79</c:f>
              <c:numCache>
                <c:formatCode>General</c:formatCode>
                <c:ptCount val="74"/>
                <c:pt idx="0">
                  <c:v>0.9888269325324206</c:v>
                </c:pt>
                <c:pt idx="1">
                  <c:v>0.93480649312498687</c:v>
                </c:pt>
                <c:pt idx="2">
                  <c:v>0.88373723534273252</c:v>
                </c:pt>
                <c:pt idx="3">
                  <c:v>0.83545793367397481</c:v>
                </c:pt>
                <c:pt idx="4">
                  <c:v>0.78981617049109842</c:v>
                </c:pt>
                <c:pt idx="5">
                  <c:v>0.74666785486850906</c:v>
                </c:pt>
                <c:pt idx="6">
                  <c:v>0.70587676768796215</c:v>
                </c:pt>
                <c:pt idx="7">
                  <c:v>0.66731413159516684</c:v>
                </c:pt>
                <c:pt idx="8">
                  <c:v>0.63085820445001994</c:v>
                </c:pt>
                <c:pt idx="9">
                  <c:v>0.59639389498699125</c:v>
                </c:pt>
                <c:pt idx="10">
                  <c:v>0.56381239947230277</c:v>
                </c:pt>
                <c:pt idx="11">
                  <c:v>0.53301085821082961</c:v>
                </c:pt>
                <c:pt idx="12">
                  <c:v>0.5038920308183138</c:v>
                </c:pt>
                <c:pt idx="13">
                  <c:v>0.47636398923372941</c:v>
                </c:pt>
                <c:pt idx="14">
                  <c:v>0.45033982750263662</c:v>
                </c:pt>
                <c:pt idx="15">
                  <c:v>0.42573738741531353</c:v>
                </c:pt>
                <c:pt idx="16">
                  <c:v>0.4024789991335056</c:v>
                </c:pt>
                <c:pt idx="17">
                  <c:v>0.38049123598695195</c:v>
                </c:pt>
                <c:pt idx="18">
                  <c:v>0.35970468266558103</c:v>
                </c:pt>
                <c:pt idx="19">
                  <c:v>0.34005371607556145</c:v>
                </c:pt>
                <c:pt idx="20">
                  <c:v>0.32147629816736722</c:v>
                </c:pt>
                <c:pt idx="21">
                  <c:v>0.30391378008182041</c:v>
                </c:pt>
                <c:pt idx="22">
                  <c:v>0.28731071699579769</c:v>
                </c:pt>
                <c:pt idx="23">
                  <c:v>0.27161469308307018</c:v>
                </c:pt>
                <c:pt idx="24">
                  <c:v>0.25677615603767917</c:v>
                </c:pt>
                <c:pt idx="25">
                  <c:v>0.24274826063743693</c:v>
                </c:pt>
                <c:pt idx="26">
                  <c:v>0.22948672085368443</c:v>
                </c:pt>
                <c:pt idx="27">
                  <c:v>0.21694967004041621</c:v>
                </c:pt>
                <c:pt idx="28">
                  <c:v>0.20509752876138934</c:v>
                </c:pt>
                <c:pt idx="29">
                  <c:v>0.19389287983794812</c:v>
                </c:pt>
                <c:pt idx="30">
                  <c:v>0.1833003502230903</c:v>
                </c:pt>
                <c:pt idx="31">
                  <c:v>0.17328649932885085</c:v>
                </c:pt>
                <c:pt idx="32">
                  <c:v>0.16381971345445456</c:v>
                </c:pt>
                <c:pt idx="33">
                  <c:v>0.15487010598194637</c:v>
                </c:pt>
                <c:pt idx="34">
                  <c:v>0.14640942302421725</c:v>
                </c:pt>
                <c:pt idx="35">
                  <c:v>0.13841095422755781</c:v>
                </c:pt>
                <c:pt idx="36">
                  <c:v>0.13084944844714186</c:v>
                </c:pt>
                <c:pt idx="37">
                  <c:v>0.12370103402922936</c:v>
                </c:pt>
                <c:pt idx="38">
                  <c:v>0.11694314344841851</c:v>
                </c:pt>
                <c:pt idx="39">
                  <c:v>0.11055444206202804</c:v>
                </c:pt>
                <c:pt idx="40">
                  <c:v>0.10451476075668635</c:v>
                </c:pt>
                <c:pt idx="41">
                  <c:v>9.8805032274494262E-2</c:v>
                </c:pt>
                <c:pt idx="42">
                  <c:v>9.3407231017742134E-2</c:v>
                </c:pt>
                <c:pt idx="43">
                  <c:v>8.8304316142145678E-2</c:v>
                </c:pt>
                <c:pt idx="44">
                  <c:v>8.3480177758945562E-2</c:v>
                </c:pt>
                <c:pt idx="45">
                  <c:v>7.8919586076031376E-2</c:v>
                </c:pt>
                <c:pt idx="46">
                  <c:v>7.4608143317528006E-2</c:v>
                </c:pt>
                <c:pt idx="47">
                  <c:v>7.0532238270055503E-2</c:v>
                </c:pt>
                <c:pt idx="48">
                  <c:v>6.6679003312164337E-2</c:v>
                </c:pt>
                <c:pt idx="49">
                  <c:v>6.303627379128858E-2</c:v>
                </c:pt>
                <c:pt idx="50">
                  <c:v>5.9592549619969994E-2</c:v>
                </c:pt>
                <c:pt idx="51">
                  <c:v>5.633695897011224E-2</c:v>
                </c:pt>
                <c:pt idx="52">
                  <c:v>5.3259223950648416E-2</c:v>
                </c:pt>
                <c:pt idx="53">
                  <c:v>5.0349628160266141E-2</c:v>
                </c:pt>
                <c:pt idx="54">
                  <c:v>4.7598986012754328E-2</c:v>
                </c:pt>
                <c:pt idx="55">
                  <c:v>4.4998613738131875E-2</c:v>
                </c:pt>
                <c:pt idx="56">
                  <c:v>4.2540301968008676E-2</c:v>
                </c:pt>
                <c:pt idx="57">
                  <c:v>4.0216289818631464E-2</c:v>
                </c:pt>
                <c:pt idx="58">
                  <c:v>3.801924038979429E-2</c:v>
                </c:pt>
                <c:pt idx="59">
                  <c:v>3.5942217602263959E-2</c:v>
                </c:pt>
                <c:pt idx="60">
                  <c:v>3.3978664300596338E-2</c:v>
                </c:pt>
                <c:pt idx="61">
                  <c:v>3.2122381552213863E-2</c:v>
                </c:pt>
                <c:pt idx="62">
                  <c:v>3.0367509077391847E-2</c:v>
                </c:pt>
                <c:pt idx="63">
                  <c:v>2.8708506748370884E-2</c:v>
                </c:pt>
                <c:pt idx="64">
                  <c:v>2.7140137099188194E-2</c:v>
                </c:pt>
                <c:pt idx="65">
                  <c:v>2.5657448791011391E-2</c:v>
                </c:pt>
                <c:pt idx="66">
                  <c:v>2.4255760980774973E-2</c:v>
                </c:pt>
                <c:pt idx="67">
                  <c:v>2.293064854377105E-2</c:v>
                </c:pt>
                <c:pt idx="68">
                  <c:v>2.167792810354242E-2</c:v>
                </c:pt>
                <c:pt idx="69">
                  <c:v>2.0493644824974133E-2</c:v>
                </c:pt>
                <c:pt idx="70">
                  <c:v>1.9374059928889506E-2</c:v>
                </c:pt>
                <c:pt idx="71">
                  <c:v>1.8315638888734179E-2</c:v>
                </c:pt>
                <c:pt idx="72">
                  <c:v>1.7315040272085101E-2</c:v>
                </c:pt>
                <c:pt idx="73">
                  <c:v>1.6369105191757192E-2</c:v>
                </c:pt>
              </c:numCache>
            </c:numRef>
          </c:val>
          <c:smooth val="0"/>
        </c:ser>
        <c:ser>
          <c:idx val="1"/>
          <c:order val="1"/>
          <c:tx>
            <c:v>2011</c:v>
          </c:tx>
          <c:marker>
            <c:symbol val="none"/>
          </c:marker>
          <c:cat>
            <c:numRef>
              <c:f>'Inciner 2 - Total - Exponencial'!$AJ$6:$AJ$79</c:f>
              <c:numCache>
                <c:formatCode>General</c:formatCode>
                <c:ptCount val="74"/>
                <c:pt idx="0">
                  <c:v>1</c:v>
                </c:pt>
                <c:pt idx="1">
                  <c:v>6</c:v>
                </c:pt>
                <c:pt idx="2">
                  <c:v>11</c:v>
                </c:pt>
                <c:pt idx="3">
                  <c:v>16</c:v>
                </c:pt>
                <c:pt idx="4">
                  <c:v>21</c:v>
                </c:pt>
                <c:pt idx="5">
                  <c:v>26</c:v>
                </c:pt>
                <c:pt idx="6">
                  <c:v>31</c:v>
                </c:pt>
                <c:pt idx="7">
                  <c:v>36</c:v>
                </c:pt>
                <c:pt idx="8">
                  <c:v>41</c:v>
                </c:pt>
                <c:pt idx="9">
                  <c:v>46</c:v>
                </c:pt>
                <c:pt idx="10">
                  <c:v>51</c:v>
                </c:pt>
                <c:pt idx="11">
                  <c:v>56</c:v>
                </c:pt>
                <c:pt idx="12">
                  <c:v>61</c:v>
                </c:pt>
                <c:pt idx="13">
                  <c:v>66</c:v>
                </c:pt>
                <c:pt idx="14">
                  <c:v>71</c:v>
                </c:pt>
                <c:pt idx="15">
                  <c:v>76</c:v>
                </c:pt>
                <c:pt idx="16">
                  <c:v>81</c:v>
                </c:pt>
                <c:pt idx="17">
                  <c:v>86</c:v>
                </c:pt>
                <c:pt idx="18">
                  <c:v>91</c:v>
                </c:pt>
                <c:pt idx="19">
                  <c:v>96</c:v>
                </c:pt>
                <c:pt idx="20">
                  <c:v>101</c:v>
                </c:pt>
                <c:pt idx="21">
                  <c:v>106</c:v>
                </c:pt>
                <c:pt idx="22">
                  <c:v>111</c:v>
                </c:pt>
                <c:pt idx="23">
                  <c:v>116</c:v>
                </c:pt>
                <c:pt idx="24">
                  <c:v>121</c:v>
                </c:pt>
                <c:pt idx="25">
                  <c:v>126</c:v>
                </c:pt>
                <c:pt idx="26">
                  <c:v>131</c:v>
                </c:pt>
                <c:pt idx="27">
                  <c:v>136</c:v>
                </c:pt>
                <c:pt idx="28">
                  <c:v>141</c:v>
                </c:pt>
                <c:pt idx="29">
                  <c:v>146</c:v>
                </c:pt>
                <c:pt idx="30">
                  <c:v>151</c:v>
                </c:pt>
                <c:pt idx="31">
                  <c:v>156</c:v>
                </c:pt>
                <c:pt idx="32">
                  <c:v>161</c:v>
                </c:pt>
                <c:pt idx="33">
                  <c:v>166</c:v>
                </c:pt>
                <c:pt idx="34">
                  <c:v>171</c:v>
                </c:pt>
                <c:pt idx="35">
                  <c:v>176</c:v>
                </c:pt>
                <c:pt idx="36">
                  <c:v>181</c:v>
                </c:pt>
                <c:pt idx="37">
                  <c:v>186</c:v>
                </c:pt>
                <c:pt idx="38">
                  <c:v>191</c:v>
                </c:pt>
                <c:pt idx="39">
                  <c:v>196</c:v>
                </c:pt>
                <c:pt idx="40">
                  <c:v>201</c:v>
                </c:pt>
                <c:pt idx="41">
                  <c:v>206</c:v>
                </c:pt>
                <c:pt idx="42">
                  <c:v>211</c:v>
                </c:pt>
                <c:pt idx="43">
                  <c:v>216</c:v>
                </c:pt>
                <c:pt idx="44">
                  <c:v>221</c:v>
                </c:pt>
                <c:pt idx="45">
                  <c:v>226</c:v>
                </c:pt>
                <c:pt idx="46">
                  <c:v>231</c:v>
                </c:pt>
                <c:pt idx="47">
                  <c:v>236</c:v>
                </c:pt>
                <c:pt idx="48">
                  <c:v>241</c:v>
                </c:pt>
                <c:pt idx="49">
                  <c:v>246</c:v>
                </c:pt>
                <c:pt idx="50">
                  <c:v>251</c:v>
                </c:pt>
                <c:pt idx="51">
                  <c:v>256</c:v>
                </c:pt>
                <c:pt idx="52">
                  <c:v>261</c:v>
                </c:pt>
                <c:pt idx="53">
                  <c:v>266</c:v>
                </c:pt>
                <c:pt idx="54">
                  <c:v>271</c:v>
                </c:pt>
                <c:pt idx="55">
                  <c:v>276</c:v>
                </c:pt>
                <c:pt idx="56">
                  <c:v>281</c:v>
                </c:pt>
                <c:pt idx="57">
                  <c:v>286</c:v>
                </c:pt>
                <c:pt idx="58">
                  <c:v>291</c:v>
                </c:pt>
                <c:pt idx="59">
                  <c:v>296</c:v>
                </c:pt>
                <c:pt idx="60">
                  <c:v>301</c:v>
                </c:pt>
                <c:pt idx="61">
                  <c:v>306</c:v>
                </c:pt>
                <c:pt idx="62">
                  <c:v>311</c:v>
                </c:pt>
                <c:pt idx="63">
                  <c:v>316</c:v>
                </c:pt>
                <c:pt idx="64">
                  <c:v>321</c:v>
                </c:pt>
                <c:pt idx="65">
                  <c:v>326</c:v>
                </c:pt>
                <c:pt idx="66">
                  <c:v>331</c:v>
                </c:pt>
                <c:pt idx="67">
                  <c:v>336</c:v>
                </c:pt>
                <c:pt idx="68">
                  <c:v>341</c:v>
                </c:pt>
                <c:pt idx="69">
                  <c:v>346</c:v>
                </c:pt>
                <c:pt idx="70">
                  <c:v>351</c:v>
                </c:pt>
                <c:pt idx="71">
                  <c:v>356</c:v>
                </c:pt>
                <c:pt idx="72">
                  <c:v>361</c:v>
                </c:pt>
                <c:pt idx="73">
                  <c:v>366</c:v>
                </c:pt>
              </c:numCache>
            </c:numRef>
          </c:cat>
          <c:val>
            <c:numRef>
              <c:f>'Inciner 2 - Total - Exponencial'!$AL$6:$AL$79</c:f>
              <c:numCache>
                <c:formatCode>General</c:formatCode>
                <c:ptCount val="74"/>
                <c:pt idx="0">
                  <c:v>0.97752904625299208</c:v>
                </c:pt>
                <c:pt idx="1">
                  <c:v>0.87252529286942382</c:v>
                </c:pt>
                <c:pt idx="2">
                  <c:v>0.77880078307140488</c:v>
                </c:pt>
                <c:pt idx="3">
                  <c:v>0.69514392839887873</c:v>
                </c:pt>
                <c:pt idx="4">
                  <c:v>0.62047328622873332</c:v>
                </c:pt>
                <c:pt idx="5">
                  <c:v>0.55382357983075869</c:v>
                </c:pt>
                <c:pt idx="6">
                  <c:v>0.49433322011463077</c:v>
                </c:pt>
                <c:pt idx="7">
                  <c:v>0.44123316775998395</c:v>
                </c:pt>
                <c:pt idx="8">
                  <c:v>0.39383699174893466</c:v>
                </c:pt>
                <c:pt idx="9">
                  <c:v>0.3515319957864631</c:v>
                </c:pt>
                <c:pt idx="10">
                  <c:v>0.31377129789877883</c:v>
                </c:pt>
                <c:pt idx="11">
                  <c:v>0.28006676082164889</c:v>
                </c:pt>
                <c:pt idx="12">
                  <c:v>0.2499826817889321</c:v>
                </c:pt>
                <c:pt idx="13">
                  <c:v>0.22313016014842982</c:v>
                </c:pt>
                <c:pt idx="14">
                  <c:v>0.19916206999451525</c:v>
                </c:pt>
                <c:pt idx="15">
                  <c:v>0.17776857282813782</c:v>
                </c:pt>
                <c:pt idx="16">
                  <c:v>0.15867311223579478</c:v>
                </c:pt>
                <c:pt idx="17">
                  <c:v>0.14162883881018593</c:v>
                </c:pt>
                <c:pt idx="18">
                  <c:v>0.12641541909705237</c:v>
                </c:pt>
                <c:pt idx="19">
                  <c:v>0.11283618731705691</c:v>
                </c:pt>
                <c:pt idx="20">
                  <c:v>0.10071560304265781</c:v>
                </c:pt>
                <c:pt idx="21">
                  <c:v>8.989698196504782E-2</c:v>
                </c:pt>
                <c:pt idx="22">
                  <c:v>8.0240470416497942E-2</c:v>
                </c:pt>
                <c:pt idx="23">
                  <c:v>7.1621237464503551E-2</c:v>
                </c:pt>
                <c:pt idx="24">
                  <c:v>6.392786120670757E-2</c:v>
                </c:pt>
                <c:pt idx="25">
                  <c:v>5.7060888406033558E-2</c:v>
                </c:pt>
                <c:pt idx="26">
                  <c:v>5.0931548846251527E-2</c:v>
                </c:pt>
                <c:pt idx="27">
                  <c:v>4.5460607788290537E-2</c:v>
                </c:pt>
                <c:pt idx="28">
                  <c:v>4.0577341692856927E-2</c:v>
                </c:pt>
                <c:pt idx="29">
                  <c:v>3.6218623968396785E-2</c:v>
                </c:pt>
                <c:pt idx="30">
                  <c:v>3.2328108925751733E-2</c:v>
                </c:pt>
                <c:pt idx="31">
                  <c:v>2.8855503390388219E-2</c:v>
                </c:pt>
                <c:pt idx="32">
                  <c:v>2.57559165562402E-2</c:v>
                </c:pt>
                <c:pt idx="33">
                  <c:v>2.2989279676644835E-2</c:v>
                </c:pt>
                <c:pt idx="34">
                  <c:v>2.0519828090643018E-2</c:v>
                </c:pt>
                <c:pt idx="35">
                  <c:v>1.8315638888734179E-2</c:v>
                </c:pt>
                <c:pt idx="36">
                  <c:v>1.6348218241432629E-2</c:v>
                </c:pt>
                <c:pt idx="37">
                  <c:v>1.4592133055970142E-2</c:v>
                </c:pt>
                <c:pt idx="38">
                  <c:v>1.3024682199524957E-2</c:v>
                </c:pt>
                <c:pt idx="39">
                  <c:v>1.1625603038838491E-2</c:v>
                </c:pt>
                <c:pt idx="40">
                  <c:v>1.0376809502621133E-2</c:v>
                </c:pt>
                <c:pt idx="41">
                  <c:v>9.2621582806466044E-3</c:v>
                </c:pt>
                <c:pt idx="42">
                  <c:v>8.2672401371617008E-3</c:v>
                </c:pt>
                <c:pt idx="43">
                  <c:v>7.3791936408936056E-3</c:v>
                </c:pt>
                <c:pt idx="44">
                  <c:v>6.5865389037192282E-3</c:v>
                </c:pt>
                <c:pt idx="45">
                  <c:v>5.8790291787157003E-3</c:v>
                </c:pt>
                <c:pt idx="46">
                  <c:v>5.2475183991813846E-3</c:v>
                </c:pt>
                <c:pt idx="47">
                  <c:v>4.683842946287705E-3</c:v>
                </c:pt>
                <c:pt idx="48">
                  <c:v>4.1807161169575904E-3</c:v>
                </c:pt>
                <c:pt idx="49">
                  <c:v>3.7316339277434314E-3</c:v>
                </c:pt>
                <c:pt idx="50">
                  <c:v>3.3307910370196309E-3</c:v>
                </c:pt>
                <c:pt idx="51">
                  <c:v>2.9730056986053579E-3</c:v>
                </c:pt>
                <c:pt idx="52">
                  <c:v>2.6536527766835827E-3</c:v>
                </c:pt>
                <c:pt idx="53">
                  <c:v>2.368603956091923E-3</c:v>
                </c:pt>
                <c:pt idx="54">
                  <c:v>2.1141743750762291E-3</c:v>
                </c:pt>
                <c:pt idx="55">
                  <c:v>1.8870749906218167E-3</c:v>
                </c:pt>
                <c:pt idx="56">
                  <c:v>1.6843700605830719E-3</c:v>
                </c:pt>
                <c:pt idx="57">
                  <c:v>1.5034391929775724E-3</c:v>
                </c:pt>
                <c:pt idx="58">
                  <c:v>1.3419434718511933E-3</c:v>
                </c:pt>
                <c:pt idx="59">
                  <c:v>1.1977952218190572E-3</c:v>
                </c:pt>
                <c:pt idx="60">
                  <c:v>1.0691310204247251E-3</c:v>
                </c:pt>
                <c:pt idx="61">
                  <c:v>9.5428760944505123E-4</c:v>
                </c:pt>
                <c:pt idx="62">
                  <c:v>8.517803937431157E-4</c:v>
                </c:pt>
                <c:pt idx="63">
                  <c:v>7.6028424972120927E-4</c:v>
                </c:pt>
                <c:pt idx="64">
                  <c:v>6.7861639528235909E-4</c:v>
                </c:pt>
                <c:pt idx="65">
                  <c:v>6.0572109985823435E-4</c:v>
                </c:pt>
                <c:pt idx="66">
                  <c:v>5.4065603684804819E-4</c:v>
                </c:pt>
                <c:pt idx="67">
                  <c:v>4.8258010204473912E-4</c:v>
                </c:pt>
                <c:pt idx="68">
                  <c:v>4.3074254057568753E-4</c:v>
                </c:pt>
                <c:pt idx="69">
                  <c:v>3.8447324180058436E-4</c:v>
                </c:pt>
                <c:pt idx="70">
                  <c:v>3.4317407670737533E-4</c:v>
                </c:pt>
                <c:pt idx="71">
                  <c:v>3.0631116582371335E-4</c:v>
                </c:pt>
                <c:pt idx="72">
                  <c:v>2.7340797769025084E-4</c:v>
                </c:pt>
                <c:pt idx="73">
                  <c:v>2.440391686788641E-4</c:v>
                </c:pt>
              </c:numCache>
            </c:numRef>
          </c:val>
          <c:smooth val="0"/>
        </c:ser>
        <c:ser>
          <c:idx val="2"/>
          <c:order val="2"/>
          <c:tx>
            <c:v>2012</c:v>
          </c:tx>
          <c:marker>
            <c:symbol val="none"/>
          </c:marker>
          <c:cat>
            <c:numRef>
              <c:f>'Inciner 2 - Total - Exponencial'!$AJ$6:$AJ$79</c:f>
              <c:numCache>
                <c:formatCode>General</c:formatCode>
                <c:ptCount val="74"/>
                <c:pt idx="0">
                  <c:v>1</c:v>
                </c:pt>
                <c:pt idx="1">
                  <c:v>6</c:v>
                </c:pt>
                <c:pt idx="2">
                  <c:v>11</c:v>
                </c:pt>
                <c:pt idx="3">
                  <c:v>16</c:v>
                </c:pt>
                <c:pt idx="4">
                  <c:v>21</c:v>
                </c:pt>
                <c:pt idx="5">
                  <c:v>26</c:v>
                </c:pt>
                <c:pt idx="6">
                  <c:v>31</c:v>
                </c:pt>
                <c:pt idx="7">
                  <c:v>36</c:v>
                </c:pt>
                <c:pt idx="8">
                  <c:v>41</c:v>
                </c:pt>
                <c:pt idx="9">
                  <c:v>46</c:v>
                </c:pt>
                <c:pt idx="10">
                  <c:v>51</c:v>
                </c:pt>
                <c:pt idx="11">
                  <c:v>56</c:v>
                </c:pt>
                <c:pt idx="12">
                  <c:v>61</c:v>
                </c:pt>
                <c:pt idx="13">
                  <c:v>66</c:v>
                </c:pt>
                <c:pt idx="14">
                  <c:v>71</c:v>
                </c:pt>
                <c:pt idx="15">
                  <c:v>76</c:v>
                </c:pt>
                <c:pt idx="16">
                  <c:v>81</c:v>
                </c:pt>
                <c:pt idx="17">
                  <c:v>86</c:v>
                </c:pt>
                <c:pt idx="18">
                  <c:v>91</c:v>
                </c:pt>
                <c:pt idx="19">
                  <c:v>96</c:v>
                </c:pt>
                <c:pt idx="20">
                  <c:v>101</c:v>
                </c:pt>
                <c:pt idx="21">
                  <c:v>106</c:v>
                </c:pt>
                <c:pt idx="22">
                  <c:v>111</c:v>
                </c:pt>
                <c:pt idx="23">
                  <c:v>116</c:v>
                </c:pt>
                <c:pt idx="24">
                  <c:v>121</c:v>
                </c:pt>
                <c:pt idx="25">
                  <c:v>126</c:v>
                </c:pt>
                <c:pt idx="26">
                  <c:v>131</c:v>
                </c:pt>
                <c:pt idx="27">
                  <c:v>136</c:v>
                </c:pt>
                <c:pt idx="28">
                  <c:v>141</c:v>
                </c:pt>
                <c:pt idx="29">
                  <c:v>146</c:v>
                </c:pt>
                <c:pt idx="30">
                  <c:v>151</c:v>
                </c:pt>
                <c:pt idx="31">
                  <c:v>156</c:v>
                </c:pt>
                <c:pt idx="32">
                  <c:v>161</c:v>
                </c:pt>
                <c:pt idx="33">
                  <c:v>166</c:v>
                </c:pt>
                <c:pt idx="34">
                  <c:v>171</c:v>
                </c:pt>
                <c:pt idx="35">
                  <c:v>176</c:v>
                </c:pt>
                <c:pt idx="36">
                  <c:v>181</c:v>
                </c:pt>
                <c:pt idx="37">
                  <c:v>186</c:v>
                </c:pt>
                <c:pt idx="38">
                  <c:v>191</c:v>
                </c:pt>
                <c:pt idx="39">
                  <c:v>196</c:v>
                </c:pt>
                <c:pt idx="40">
                  <c:v>201</c:v>
                </c:pt>
                <c:pt idx="41">
                  <c:v>206</c:v>
                </c:pt>
                <c:pt idx="42">
                  <c:v>211</c:v>
                </c:pt>
                <c:pt idx="43">
                  <c:v>216</c:v>
                </c:pt>
                <c:pt idx="44">
                  <c:v>221</c:v>
                </c:pt>
                <c:pt idx="45">
                  <c:v>226</c:v>
                </c:pt>
                <c:pt idx="46">
                  <c:v>231</c:v>
                </c:pt>
                <c:pt idx="47">
                  <c:v>236</c:v>
                </c:pt>
                <c:pt idx="48">
                  <c:v>241</c:v>
                </c:pt>
                <c:pt idx="49">
                  <c:v>246</c:v>
                </c:pt>
                <c:pt idx="50">
                  <c:v>251</c:v>
                </c:pt>
                <c:pt idx="51">
                  <c:v>256</c:v>
                </c:pt>
                <c:pt idx="52">
                  <c:v>261</c:v>
                </c:pt>
                <c:pt idx="53">
                  <c:v>266</c:v>
                </c:pt>
                <c:pt idx="54">
                  <c:v>271</c:v>
                </c:pt>
                <c:pt idx="55">
                  <c:v>276</c:v>
                </c:pt>
                <c:pt idx="56">
                  <c:v>281</c:v>
                </c:pt>
                <c:pt idx="57">
                  <c:v>286</c:v>
                </c:pt>
                <c:pt idx="58">
                  <c:v>291</c:v>
                </c:pt>
                <c:pt idx="59">
                  <c:v>296</c:v>
                </c:pt>
                <c:pt idx="60">
                  <c:v>301</c:v>
                </c:pt>
                <c:pt idx="61">
                  <c:v>306</c:v>
                </c:pt>
                <c:pt idx="62">
                  <c:v>311</c:v>
                </c:pt>
                <c:pt idx="63">
                  <c:v>316</c:v>
                </c:pt>
                <c:pt idx="64">
                  <c:v>321</c:v>
                </c:pt>
                <c:pt idx="65">
                  <c:v>326</c:v>
                </c:pt>
                <c:pt idx="66">
                  <c:v>331</c:v>
                </c:pt>
                <c:pt idx="67">
                  <c:v>336</c:v>
                </c:pt>
                <c:pt idx="68">
                  <c:v>341</c:v>
                </c:pt>
                <c:pt idx="69">
                  <c:v>346</c:v>
                </c:pt>
                <c:pt idx="70">
                  <c:v>351</c:v>
                </c:pt>
                <c:pt idx="71">
                  <c:v>356</c:v>
                </c:pt>
                <c:pt idx="72">
                  <c:v>361</c:v>
                </c:pt>
                <c:pt idx="73">
                  <c:v>366</c:v>
                </c:pt>
              </c:numCache>
            </c:numRef>
          </c:cat>
          <c:val>
            <c:numRef>
              <c:f>'Inciner 2 - Total - Exponencial'!$AM$6:$AM$79</c:f>
              <c:numCache>
                <c:formatCode>General</c:formatCode>
                <c:ptCount val="74"/>
                <c:pt idx="0">
                  <c:v>0.9718328750329811</c:v>
                </c:pt>
                <c:pt idx="1">
                  <c:v>0.84246044161677136</c:v>
                </c:pt>
                <c:pt idx="2">
                  <c:v>0.73031033825135727</c:v>
                </c:pt>
                <c:pt idx="3">
                  <c:v>0.63308989218918132</c:v>
                </c:pt>
                <c:pt idx="4">
                  <c:v>0.54881163609402639</c:v>
                </c:pt>
                <c:pt idx="5">
                  <c:v>0.47575267845565061</c:v>
                </c:pt>
                <c:pt idx="6">
                  <c:v>0.41241948270015788</c:v>
                </c:pt>
                <c:pt idx="7">
                  <c:v>0.35751733497916927</c:v>
                </c:pt>
                <c:pt idx="8">
                  <c:v>0.30992387647102437</c:v>
                </c:pt>
                <c:pt idx="9">
                  <c:v>0.26866615911763636</c:v>
                </c:pt>
                <c:pt idx="10">
                  <c:v>0.2329007557498447</c:v>
                </c:pt>
                <c:pt idx="11">
                  <c:v>0.20189651799465544</c:v>
                </c:pt>
                <c:pt idx="12">
                  <c:v>0.17501962948608163</c:v>
                </c:pt>
                <c:pt idx="13">
                  <c:v>0.15172064882394942</c:v>
                </c:pt>
                <c:pt idx="14">
                  <c:v>0.13152327740124015</c:v>
                </c:pt>
                <c:pt idx="15">
                  <c:v>0.11401462248184759</c:v>
                </c:pt>
                <c:pt idx="16">
                  <c:v>9.8836756477873877E-2</c:v>
                </c:pt>
                <c:pt idx="17">
                  <c:v>8.5679399873659468E-2</c:v>
                </c:pt>
                <c:pt idx="18">
                  <c:v>7.4273578214333877E-2</c:v>
                </c:pt>
                <c:pt idx="19">
                  <c:v>6.4386123489372601E-2</c:v>
                </c:pt>
                <c:pt idx="20">
                  <c:v>5.5814907503523158E-2</c:v>
                </c:pt>
                <c:pt idx="21">
                  <c:v>4.8384709791404808E-2</c:v>
                </c:pt>
                <c:pt idx="22">
                  <c:v>4.1943635603995055E-2</c:v>
                </c:pt>
                <c:pt idx="23">
                  <c:v>3.6360010740278177E-2</c:v>
                </c:pt>
                <c:pt idx="24">
                  <c:v>3.1519689745426391E-2</c:v>
                </c:pt>
                <c:pt idx="25">
                  <c:v>2.7323722447292559E-2</c:v>
                </c:pt>
                <c:pt idx="26">
                  <c:v>2.3686331128465868E-2</c:v>
                </c:pt>
                <c:pt idx="27">
                  <c:v>2.0533156981431842E-2</c:v>
                </c:pt>
                <c:pt idx="28">
                  <c:v>1.7799739999304415E-2</c:v>
                </c:pt>
                <c:pt idx="29">
                  <c:v>1.5430201226696305E-2</c:v>
                </c:pt>
                <c:pt idx="30">
                  <c:v>1.3376100432121176E-2</c:v>
                </c:pt>
                <c:pt idx="31">
                  <c:v>1.1595445849444698E-2</c:v>
                </c:pt>
                <c:pt idx="32">
                  <c:v>1.0051835744633586E-2</c:v>
                </c:pt>
                <c:pt idx="33">
                  <c:v>8.7137142589417613E-3</c:v>
                </c:pt>
                <c:pt idx="34">
                  <c:v>7.5537263158146489E-3</c:v>
                </c:pt>
                <c:pt idx="35">
                  <c:v>6.5481584039410777E-3</c:v>
                </c:pt>
                <c:pt idx="36">
                  <c:v>5.6764538044399406E-3</c:v>
                </c:pt>
                <c:pt idx="37">
                  <c:v>4.920792352021826E-3</c:v>
                </c:pt>
                <c:pt idx="38">
                  <c:v>4.2657261392274352E-3</c:v>
                </c:pt>
                <c:pt idx="39">
                  <c:v>3.697863716482932E-3</c:v>
                </c:pt>
                <c:pt idx="40">
                  <c:v>3.2055963321071241E-3</c:v>
                </c:pt>
                <c:pt idx="41">
                  <c:v>2.7788606158239107E-3</c:v>
                </c:pt>
                <c:pt idx="42">
                  <c:v>2.4089328543439271E-3</c:v>
                </c:pt>
                <c:pt idx="43">
                  <c:v>2.0882506534128749E-3</c:v>
                </c:pt>
                <c:pt idx="44">
                  <c:v>1.8102583405824968E-3</c:v>
                </c:pt>
                <c:pt idx="45">
                  <c:v>1.5692729482894032E-3</c:v>
                </c:pt>
                <c:pt idx="46">
                  <c:v>1.3603680375478939E-3</c:v>
                </c:pt>
                <c:pt idx="47">
                  <c:v>1.179272987276794E-3</c:v>
                </c:pt>
                <c:pt idx="48">
                  <c:v>1.0222856904426303E-3</c:v>
                </c:pt>
                <c:pt idx="49">
                  <c:v>8.8619687227557145E-4</c:v>
                </c:pt>
                <c:pt idx="50">
                  <c:v>7.6822448340342772E-4</c:v>
                </c:pt>
                <c:pt idx="51">
                  <c:v>6.6595682670943137E-4</c:v>
                </c:pt>
                <c:pt idx="52">
                  <c:v>5.7730325526216735E-4</c:v>
                </c:pt>
                <c:pt idx="53">
                  <c:v>5.0045143344061083E-4</c:v>
                </c:pt>
                <c:pt idx="54">
                  <c:v>4.338302875479644E-4</c:v>
                </c:pt>
                <c:pt idx="55">
                  <c:v>3.7607788851759695E-4</c:v>
                </c:pt>
                <c:pt idx="56">
                  <c:v>3.2601361014061728E-4</c:v>
                </c:pt>
                <c:pt idx="57">
                  <c:v>2.8261399364867297E-4</c:v>
                </c:pt>
                <c:pt idx="58">
                  <c:v>2.449918252541729E-4</c:v>
                </c:pt>
                <c:pt idx="59">
                  <c:v>2.1237799893230065E-4</c:v>
                </c:pt>
                <c:pt idx="60">
                  <c:v>1.8410579366757919E-4</c:v>
                </c:pt>
                <c:pt idx="61">
                  <c:v>1.5959724374639141E-4</c:v>
                </c:pt>
                <c:pt idx="62">
                  <c:v>1.3835132346478942E-4</c:v>
                </c:pt>
                <c:pt idx="63">
                  <c:v>1.1993370471281473E-4</c:v>
                </c:pt>
                <c:pt idx="64">
                  <c:v>1.0396787805070336E-4</c:v>
                </c:pt>
                <c:pt idx="65">
                  <c:v>9.0127455766076775E-5</c:v>
                </c:pt>
                <c:pt idx="66">
                  <c:v>7.8129499564323933E-5</c:v>
                </c:pt>
                <c:pt idx="67">
                  <c:v>6.7728736490853898E-5</c:v>
                </c:pt>
                <c:pt idx="68">
                  <c:v>5.8712544841924943E-5</c:v>
                </c:pt>
                <c:pt idx="69">
                  <c:v>5.0896607561556189E-5</c:v>
                </c:pt>
                <c:pt idx="70">
                  <c:v>4.4121144267371066E-5</c:v>
                </c:pt>
                <c:pt idx="71">
                  <c:v>3.8247644877073414E-5</c:v>
                </c:pt>
                <c:pt idx="72">
                  <c:v>3.3156038061428215E-5</c:v>
                </c:pt>
                <c:pt idx="73">
                  <c:v>2.8742236638727934E-5</c:v>
                </c:pt>
              </c:numCache>
            </c:numRef>
          </c:val>
          <c:smooth val="0"/>
        </c:ser>
        <c:ser>
          <c:idx val="3"/>
          <c:order val="3"/>
          <c:tx>
            <c:v>2013</c:v>
          </c:tx>
          <c:marker>
            <c:symbol val="none"/>
          </c:marker>
          <c:cat>
            <c:numRef>
              <c:f>'Inciner 2 - Total - Exponencial'!$AJ$6:$AJ$79</c:f>
              <c:numCache>
                <c:formatCode>General</c:formatCode>
                <c:ptCount val="74"/>
                <c:pt idx="0">
                  <c:v>1</c:v>
                </c:pt>
                <c:pt idx="1">
                  <c:v>6</c:v>
                </c:pt>
                <c:pt idx="2">
                  <c:v>11</c:v>
                </c:pt>
                <c:pt idx="3">
                  <c:v>16</c:v>
                </c:pt>
                <c:pt idx="4">
                  <c:v>21</c:v>
                </c:pt>
                <c:pt idx="5">
                  <c:v>26</c:v>
                </c:pt>
                <c:pt idx="6">
                  <c:v>31</c:v>
                </c:pt>
                <c:pt idx="7">
                  <c:v>36</c:v>
                </c:pt>
                <c:pt idx="8">
                  <c:v>41</c:v>
                </c:pt>
                <c:pt idx="9">
                  <c:v>46</c:v>
                </c:pt>
                <c:pt idx="10">
                  <c:v>51</c:v>
                </c:pt>
                <c:pt idx="11">
                  <c:v>56</c:v>
                </c:pt>
                <c:pt idx="12">
                  <c:v>61</c:v>
                </c:pt>
                <c:pt idx="13">
                  <c:v>66</c:v>
                </c:pt>
                <c:pt idx="14">
                  <c:v>71</c:v>
                </c:pt>
                <c:pt idx="15">
                  <c:v>76</c:v>
                </c:pt>
                <c:pt idx="16">
                  <c:v>81</c:v>
                </c:pt>
                <c:pt idx="17">
                  <c:v>86</c:v>
                </c:pt>
                <c:pt idx="18">
                  <c:v>91</c:v>
                </c:pt>
                <c:pt idx="19">
                  <c:v>96</c:v>
                </c:pt>
                <c:pt idx="20">
                  <c:v>101</c:v>
                </c:pt>
                <c:pt idx="21">
                  <c:v>106</c:v>
                </c:pt>
                <c:pt idx="22">
                  <c:v>111</c:v>
                </c:pt>
                <c:pt idx="23">
                  <c:v>116</c:v>
                </c:pt>
                <c:pt idx="24">
                  <c:v>121</c:v>
                </c:pt>
                <c:pt idx="25">
                  <c:v>126</c:v>
                </c:pt>
                <c:pt idx="26">
                  <c:v>131</c:v>
                </c:pt>
                <c:pt idx="27">
                  <c:v>136</c:v>
                </c:pt>
                <c:pt idx="28">
                  <c:v>141</c:v>
                </c:pt>
                <c:pt idx="29">
                  <c:v>146</c:v>
                </c:pt>
                <c:pt idx="30">
                  <c:v>151</c:v>
                </c:pt>
                <c:pt idx="31">
                  <c:v>156</c:v>
                </c:pt>
                <c:pt idx="32">
                  <c:v>161</c:v>
                </c:pt>
                <c:pt idx="33">
                  <c:v>166</c:v>
                </c:pt>
                <c:pt idx="34">
                  <c:v>171</c:v>
                </c:pt>
                <c:pt idx="35">
                  <c:v>176</c:v>
                </c:pt>
                <c:pt idx="36">
                  <c:v>181</c:v>
                </c:pt>
                <c:pt idx="37">
                  <c:v>186</c:v>
                </c:pt>
                <c:pt idx="38">
                  <c:v>191</c:v>
                </c:pt>
                <c:pt idx="39">
                  <c:v>196</c:v>
                </c:pt>
                <c:pt idx="40">
                  <c:v>201</c:v>
                </c:pt>
                <c:pt idx="41">
                  <c:v>206</c:v>
                </c:pt>
                <c:pt idx="42">
                  <c:v>211</c:v>
                </c:pt>
                <c:pt idx="43">
                  <c:v>216</c:v>
                </c:pt>
                <c:pt idx="44">
                  <c:v>221</c:v>
                </c:pt>
                <c:pt idx="45">
                  <c:v>226</c:v>
                </c:pt>
                <c:pt idx="46">
                  <c:v>231</c:v>
                </c:pt>
                <c:pt idx="47">
                  <c:v>236</c:v>
                </c:pt>
                <c:pt idx="48">
                  <c:v>241</c:v>
                </c:pt>
                <c:pt idx="49">
                  <c:v>246</c:v>
                </c:pt>
                <c:pt idx="50">
                  <c:v>251</c:v>
                </c:pt>
                <c:pt idx="51">
                  <c:v>256</c:v>
                </c:pt>
                <c:pt idx="52">
                  <c:v>261</c:v>
                </c:pt>
                <c:pt idx="53">
                  <c:v>266</c:v>
                </c:pt>
                <c:pt idx="54">
                  <c:v>271</c:v>
                </c:pt>
                <c:pt idx="55">
                  <c:v>276</c:v>
                </c:pt>
                <c:pt idx="56">
                  <c:v>281</c:v>
                </c:pt>
                <c:pt idx="57">
                  <c:v>286</c:v>
                </c:pt>
                <c:pt idx="58">
                  <c:v>291</c:v>
                </c:pt>
                <c:pt idx="59">
                  <c:v>296</c:v>
                </c:pt>
                <c:pt idx="60">
                  <c:v>301</c:v>
                </c:pt>
                <c:pt idx="61">
                  <c:v>306</c:v>
                </c:pt>
                <c:pt idx="62">
                  <c:v>311</c:v>
                </c:pt>
                <c:pt idx="63">
                  <c:v>316</c:v>
                </c:pt>
                <c:pt idx="64">
                  <c:v>321</c:v>
                </c:pt>
                <c:pt idx="65">
                  <c:v>326</c:v>
                </c:pt>
                <c:pt idx="66">
                  <c:v>331</c:v>
                </c:pt>
                <c:pt idx="67">
                  <c:v>336</c:v>
                </c:pt>
                <c:pt idx="68">
                  <c:v>341</c:v>
                </c:pt>
                <c:pt idx="69">
                  <c:v>346</c:v>
                </c:pt>
                <c:pt idx="70">
                  <c:v>351</c:v>
                </c:pt>
                <c:pt idx="71">
                  <c:v>356</c:v>
                </c:pt>
                <c:pt idx="72">
                  <c:v>361</c:v>
                </c:pt>
                <c:pt idx="73">
                  <c:v>366</c:v>
                </c:pt>
              </c:numCache>
            </c:numRef>
          </c:cat>
          <c:val>
            <c:numRef>
              <c:f>'Inciner 2 - Total - Exponencial'!$AN$6:$AN$79</c:f>
              <c:numCache>
                <c:formatCode>General</c:formatCode>
                <c:ptCount val="74"/>
                <c:pt idx="0">
                  <c:v>0.99721836062779279</c:v>
                </c:pt>
                <c:pt idx="1">
                  <c:v>0.98342579696807908</c:v>
                </c:pt>
                <c:pt idx="2">
                  <c:v>0.96982399876136749</c:v>
                </c:pt>
                <c:pt idx="3">
                  <c:v>0.95641032752369259</c:v>
                </c:pt>
                <c:pt idx="4">
                  <c:v>0.94318218126405728</c:v>
                </c:pt>
                <c:pt idx="5">
                  <c:v>0.93013699397969707</c:v>
                </c:pt>
                <c:pt idx="6">
                  <c:v>0.9172722351583259</c:v>
                </c:pt>
                <c:pt idx="7">
                  <c:v>0.9045854092872655</c:v>
                </c:pt>
                <c:pt idx="8">
                  <c:v>0.89207405536936502</c:v>
                </c:pt>
                <c:pt idx="9">
                  <c:v>0.87973574644561525</c:v>
                </c:pt>
                <c:pt idx="10">
                  <c:v>0.867568089124366</c:v>
                </c:pt>
                <c:pt idx="11">
                  <c:v>0.85556872311705456</c:v>
                </c:pt>
                <c:pt idx="12">
                  <c:v>0.84373532078035562</c:v>
                </c:pt>
                <c:pt idx="13">
                  <c:v>0.83206558666466413</c:v>
                </c:pt>
                <c:pt idx="14">
                  <c:v>0.82055725706882254</c:v>
                </c:pt>
                <c:pt idx="15">
                  <c:v>0.80920809960100692</c:v>
                </c:pt>
                <c:pt idx="16">
                  <c:v>0.79801591274568617</c:v>
                </c:pt>
                <c:pt idx="17">
                  <c:v>0.78697852543657143</c:v>
                </c:pt>
                <c:pt idx="18">
                  <c:v>0.77609379663547085</c:v>
                </c:pt>
                <c:pt idx="19">
                  <c:v>0.76535961491697058</c:v>
                </c:pt>
                <c:pt idx="20">
                  <c:v>0.75477389805885875</c:v>
                </c:pt>
                <c:pt idx="21">
                  <c:v>0.74433459263821511</c:v>
                </c:pt>
                <c:pt idx="22">
                  <c:v>0.73403967363308709</c:v>
                </c:pt>
                <c:pt idx="23">
                  <c:v>0.7238871440296748</c:v>
                </c:pt>
                <c:pt idx="24">
                  <c:v>0.7138750344349496</c:v>
                </c:pt>
                <c:pt idx="25">
                  <c:v>0.70400140269462974</c:v>
                </c:pt>
                <c:pt idx="26">
                  <c:v>0.69426433351644024</c:v>
                </c:pt>
                <c:pt idx="27">
                  <c:v>0.68466193809858422</c:v>
                </c:pt>
                <c:pt idx="28">
                  <c:v>0.67519235376335118</c:v>
                </c:pt>
                <c:pt idx="29">
                  <c:v>0.66585374359579441</c:v>
                </c:pt>
                <c:pt idx="30">
                  <c:v>0.65664429608740515</c:v>
                </c:pt>
                <c:pt idx="31">
                  <c:v>0.64756222478471492</c:v>
                </c:pt>
                <c:pt idx="32">
                  <c:v>0.63860576794275881</c:v>
                </c:pt>
                <c:pt idx="33">
                  <c:v>0.62977318818333095</c:v>
                </c:pt>
                <c:pt idx="34">
                  <c:v>0.62106277215796701</c:v>
                </c:pt>
                <c:pt idx="35">
                  <c:v>0.61247283021558807</c:v>
                </c:pt>
                <c:pt idx="36">
                  <c:v>0.60400169607474108</c:v>
                </c:pt>
                <c:pt idx="37">
                  <c:v>0.5956477265003729</c:v>
                </c:pt>
                <c:pt idx="38">
                  <c:v>0.58740930098507438</c:v>
                </c:pt>
                <c:pt idx="39">
                  <c:v>0.57928482143473381</c:v>
                </c:pt>
                <c:pt idx="40">
                  <c:v>0.57127271185853779</c:v>
                </c:pt>
                <c:pt idx="41">
                  <c:v>0.56337141806325919</c:v>
                </c:pt>
                <c:pt idx="42">
                  <c:v>0.5555794073517748</c:v>
                </c:pt>
                <c:pt idx="43">
                  <c:v>0.54789516822575102</c:v>
                </c:pt>
                <c:pt idx="44">
                  <c:v>0.54031721009244316</c:v>
                </c:pt>
                <c:pt idx="45">
                  <c:v>0.53284406297554965</c:v>
                </c:pt>
                <c:pt idx="46">
                  <c:v>0.52547427723006446</c:v>
                </c:pt>
                <c:pt idx="47">
                  <c:v>0.51820642326107513</c:v>
                </c:pt>
                <c:pt idx="48">
                  <c:v>0.51103909124644864</c:v>
                </c:pt>
                <c:pt idx="49">
                  <c:v>0.50397089086335345</c:v>
                </c:pt>
                <c:pt idx="50">
                  <c:v>0.4970004510185641</c:v>
                </c:pt>
                <c:pt idx="51">
                  <c:v>0.49012641958249575</c:v>
                </c:pt>
                <c:pt idx="52">
                  <c:v>0.48334746312691729</c:v>
                </c:pt>
                <c:pt idx="53">
                  <c:v>0.47666226666629236</c:v>
                </c:pt>
                <c:pt idx="54">
                  <c:v>0.47006953340269758</c:v>
                </c:pt>
                <c:pt idx="55">
                  <c:v>0.46356798447426928</c:v>
                </c:pt>
                <c:pt idx="56">
                  <c:v>0.45715635870712901</c:v>
                </c:pt>
                <c:pt idx="57">
                  <c:v>0.45083341237074037</c:v>
                </c:pt>
                <c:pt idx="58">
                  <c:v>0.44459791893664952</c:v>
                </c:pt>
                <c:pt idx="59">
                  <c:v>0.43844866884056272</c:v>
                </c:pt>
                <c:pt idx="60">
                  <c:v>0.43238446924771412</c:v>
                </c:pt>
                <c:pt idx="61">
                  <c:v>0.42640414382147923</c:v>
                </c:pt>
                <c:pt idx="62">
                  <c:v>0.42050653249518855</c:v>
                </c:pt>
                <c:pt idx="63">
                  <c:v>0.41469049124709711</c:v>
                </c:pt>
                <c:pt idx="64">
                  <c:v>0.40895489187846656</c:v>
                </c:pt>
                <c:pt idx="65">
                  <c:v>0.40329862179471665</c:v>
                </c:pt>
                <c:pt idx="66">
                  <c:v>0.39772058378960357</c:v>
                </c:pt>
                <c:pt idx="67">
                  <c:v>0.39221969583238303</c:v>
                </c:pt>
                <c:pt idx="68">
                  <c:v>0.38679489085791779</c:v>
                </c:pt>
                <c:pt idx="69">
                  <c:v>0.38144511655968755</c:v>
                </c:pt>
                <c:pt idx="70">
                  <c:v>0.37616933518566198</c:v>
                </c:pt>
                <c:pt idx="71">
                  <c:v>0.37096652333699709</c:v>
                </c:pt>
                <c:pt idx="72">
                  <c:v>0.36583567176951587</c:v>
                </c:pt>
                <c:pt idx="73">
                  <c:v>0.36077578519793424</c:v>
                </c:pt>
              </c:numCache>
            </c:numRef>
          </c:val>
          <c:smooth val="0"/>
        </c:ser>
        <c:ser>
          <c:idx val="4"/>
          <c:order val="4"/>
          <c:tx>
            <c:v>2014</c:v>
          </c:tx>
          <c:marker>
            <c:symbol val="none"/>
          </c:marker>
          <c:cat>
            <c:numRef>
              <c:f>'Inciner 2 - Total - Exponencial'!$AJ$6:$AJ$79</c:f>
              <c:numCache>
                <c:formatCode>General</c:formatCode>
                <c:ptCount val="74"/>
                <c:pt idx="0">
                  <c:v>1</c:v>
                </c:pt>
                <c:pt idx="1">
                  <c:v>6</c:v>
                </c:pt>
                <c:pt idx="2">
                  <c:v>11</c:v>
                </c:pt>
                <c:pt idx="3">
                  <c:v>16</c:v>
                </c:pt>
                <c:pt idx="4">
                  <c:v>21</c:v>
                </c:pt>
                <c:pt idx="5">
                  <c:v>26</c:v>
                </c:pt>
                <c:pt idx="6">
                  <c:v>31</c:v>
                </c:pt>
                <c:pt idx="7">
                  <c:v>36</c:v>
                </c:pt>
                <c:pt idx="8">
                  <c:v>41</c:v>
                </c:pt>
                <c:pt idx="9">
                  <c:v>46</c:v>
                </c:pt>
                <c:pt idx="10">
                  <c:v>51</c:v>
                </c:pt>
                <c:pt idx="11">
                  <c:v>56</c:v>
                </c:pt>
                <c:pt idx="12">
                  <c:v>61</c:v>
                </c:pt>
                <c:pt idx="13">
                  <c:v>66</c:v>
                </c:pt>
                <c:pt idx="14">
                  <c:v>71</c:v>
                </c:pt>
                <c:pt idx="15">
                  <c:v>76</c:v>
                </c:pt>
                <c:pt idx="16">
                  <c:v>81</c:v>
                </c:pt>
                <c:pt idx="17">
                  <c:v>86</c:v>
                </c:pt>
                <c:pt idx="18">
                  <c:v>91</c:v>
                </c:pt>
                <c:pt idx="19">
                  <c:v>96</c:v>
                </c:pt>
                <c:pt idx="20">
                  <c:v>101</c:v>
                </c:pt>
                <c:pt idx="21">
                  <c:v>106</c:v>
                </c:pt>
                <c:pt idx="22">
                  <c:v>111</c:v>
                </c:pt>
                <c:pt idx="23">
                  <c:v>116</c:v>
                </c:pt>
                <c:pt idx="24">
                  <c:v>121</c:v>
                </c:pt>
                <c:pt idx="25">
                  <c:v>126</c:v>
                </c:pt>
                <c:pt idx="26">
                  <c:v>131</c:v>
                </c:pt>
                <c:pt idx="27">
                  <c:v>136</c:v>
                </c:pt>
                <c:pt idx="28">
                  <c:v>141</c:v>
                </c:pt>
                <c:pt idx="29">
                  <c:v>146</c:v>
                </c:pt>
                <c:pt idx="30">
                  <c:v>151</c:v>
                </c:pt>
                <c:pt idx="31">
                  <c:v>156</c:v>
                </c:pt>
                <c:pt idx="32">
                  <c:v>161</c:v>
                </c:pt>
                <c:pt idx="33">
                  <c:v>166</c:v>
                </c:pt>
                <c:pt idx="34">
                  <c:v>171</c:v>
                </c:pt>
                <c:pt idx="35">
                  <c:v>176</c:v>
                </c:pt>
                <c:pt idx="36">
                  <c:v>181</c:v>
                </c:pt>
                <c:pt idx="37">
                  <c:v>186</c:v>
                </c:pt>
                <c:pt idx="38">
                  <c:v>191</c:v>
                </c:pt>
                <c:pt idx="39">
                  <c:v>196</c:v>
                </c:pt>
                <c:pt idx="40">
                  <c:v>201</c:v>
                </c:pt>
                <c:pt idx="41">
                  <c:v>206</c:v>
                </c:pt>
                <c:pt idx="42">
                  <c:v>211</c:v>
                </c:pt>
                <c:pt idx="43">
                  <c:v>216</c:v>
                </c:pt>
                <c:pt idx="44">
                  <c:v>221</c:v>
                </c:pt>
                <c:pt idx="45">
                  <c:v>226</c:v>
                </c:pt>
                <c:pt idx="46">
                  <c:v>231</c:v>
                </c:pt>
                <c:pt idx="47">
                  <c:v>236</c:v>
                </c:pt>
                <c:pt idx="48">
                  <c:v>241</c:v>
                </c:pt>
                <c:pt idx="49">
                  <c:v>246</c:v>
                </c:pt>
                <c:pt idx="50">
                  <c:v>251</c:v>
                </c:pt>
                <c:pt idx="51">
                  <c:v>256</c:v>
                </c:pt>
                <c:pt idx="52">
                  <c:v>261</c:v>
                </c:pt>
                <c:pt idx="53">
                  <c:v>266</c:v>
                </c:pt>
                <c:pt idx="54">
                  <c:v>271</c:v>
                </c:pt>
                <c:pt idx="55">
                  <c:v>276</c:v>
                </c:pt>
                <c:pt idx="56">
                  <c:v>281</c:v>
                </c:pt>
                <c:pt idx="57">
                  <c:v>286</c:v>
                </c:pt>
                <c:pt idx="58">
                  <c:v>291</c:v>
                </c:pt>
                <c:pt idx="59">
                  <c:v>296</c:v>
                </c:pt>
                <c:pt idx="60">
                  <c:v>301</c:v>
                </c:pt>
                <c:pt idx="61">
                  <c:v>306</c:v>
                </c:pt>
                <c:pt idx="62">
                  <c:v>311</c:v>
                </c:pt>
                <c:pt idx="63">
                  <c:v>316</c:v>
                </c:pt>
                <c:pt idx="64">
                  <c:v>321</c:v>
                </c:pt>
                <c:pt idx="65">
                  <c:v>326</c:v>
                </c:pt>
                <c:pt idx="66">
                  <c:v>331</c:v>
                </c:pt>
                <c:pt idx="67">
                  <c:v>336</c:v>
                </c:pt>
                <c:pt idx="68">
                  <c:v>341</c:v>
                </c:pt>
                <c:pt idx="69">
                  <c:v>346</c:v>
                </c:pt>
                <c:pt idx="70">
                  <c:v>351</c:v>
                </c:pt>
                <c:pt idx="71">
                  <c:v>356</c:v>
                </c:pt>
                <c:pt idx="72">
                  <c:v>361</c:v>
                </c:pt>
                <c:pt idx="73">
                  <c:v>366</c:v>
                </c:pt>
              </c:numCache>
            </c:numRef>
          </c:cat>
          <c:val>
            <c:numRef>
              <c:f>'Inciner 2 - Total - Exponencial'!$AO$6:$AO$79</c:f>
              <c:numCache>
                <c:formatCode>General</c:formatCode>
                <c:ptCount val="74"/>
                <c:pt idx="0">
                  <c:v>0.99163184820119987</c:v>
                </c:pt>
                <c:pt idx="1">
                  <c:v>0.95082983222576778</c:v>
                </c:pt>
                <c:pt idx="2">
                  <c:v>0.91170666965815983</c:v>
                </c:pt>
                <c:pt idx="3">
                  <c:v>0.87419328183406031</c:v>
                </c:pt>
                <c:pt idx="4">
                  <c:v>0.8382234324229999</c:v>
                </c:pt>
                <c:pt idx="5">
                  <c:v>0.80373361047673531</c:v>
                </c:pt>
                <c:pt idx="6">
                  <c:v>0.77066291828975986</c:v>
                </c:pt>
                <c:pt idx="7">
                  <c:v>0.73895296387394338</c:v>
                </c:pt>
                <c:pt idx="8">
                  <c:v>0.70854775785744606</c:v>
                </c:pt>
                <c:pt idx="9">
                  <c:v>0.67939361462586423</c:v>
                </c:pt>
                <c:pt idx="10">
                  <c:v>0.65143905753105558</c:v>
                </c:pt>
                <c:pt idx="11">
                  <c:v>0.62463472800027442</c:v>
                </c:pt>
                <c:pt idx="12">
                  <c:v>0.59893329838513198</c:v>
                </c:pt>
                <c:pt idx="13">
                  <c:v>0.57428938839650279</c:v>
                </c:pt>
                <c:pt idx="14">
                  <c:v>0.55065948497782913</c:v>
                </c:pt>
                <c:pt idx="15">
                  <c:v>0.52800186547534433</c:v>
                </c:pt>
                <c:pt idx="16">
                  <c:v>0.50627652396956024</c:v>
                </c:pt>
                <c:pt idx="17">
                  <c:v>0.48544510063794399</c:v>
                </c:pt>
                <c:pt idx="18">
                  <c:v>0.46547081402406171</c:v>
                </c:pt>
                <c:pt idx="19">
                  <c:v>0.44631839609359841</c:v>
                </c:pt>
                <c:pt idx="20">
                  <c:v>0.42795402996258514</c:v>
                </c:pt>
                <c:pt idx="21">
                  <c:v>0.41034529018788096</c:v>
                </c:pt>
                <c:pt idx="22">
                  <c:v>0.39346108551448272</c:v>
                </c:pt>
                <c:pt idx="23">
                  <c:v>0.37727160397857362</c:v>
                </c:pt>
                <c:pt idx="24">
                  <c:v>0.36174826026937951</c:v>
                </c:pt>
                <c:pt idx="25">
                  <c:v>0.34686364525689234</c:v>
                </c:pt>
                <c:pt idx="26">
                  <c:v>0.33259147759634267</c:v>
                </c:pt>
                <c:pt idx="27">
                  <c:v>0.31890655732397044</c:v>
                </c:pt>
                <c:pt idx="28">
                  <c:v>0.30578472136216034</c:v>
                </c:pt>
                <c:pt idx="29">
                  <c:v>0.29320280085537731</c:v>
                </c:pt>
                <c:pt idx="30">
                  <c:v>0.28113858026157157</c:v>
                </c:pt>
                <c:pt idx="31">
                  <c:v>0.26957075812682357</c:v>
                </c:pt>
                <c:pt idx="32">
                  <c:v>0.25847890947396718</c:v>
                </c:pt>
                <c:pt idx="33">
                  <c:v>0.24784344973878408</c:v>
                </c:pt>
                <c:pt idx="34">
                  <c:v>0.23764560019009123</c:v>
                </c:pt>
                <c:pt idx="35">
                  <c:v>0.22786735477266509</c:v>
                </c:pt>
                <c:pt idx="36">
                  <c:v>0.21849144831445771</c:v>
                </c:pt>
                <c:pt idx="37">
                  <c:v>0.20950132604196997</c:v>
                </c:pt>
                <c:pt idx="38">
                  <c:v>0.20088111434995476</c:v>
                </c:pt>
                <c:pt idx="39">
                  <c:v>0.19261559277384013</c:v>
                </c:pt>
                <c:pt idx="40">
                  <c:v>0.18469016711538452</c:v>
                </c:pt>
                <c:pt idx="41">
                  <c:v>0.17709084367411268</c:v>
                </c:pt>
                <c:pt idx="42">
                  <c:v>0.16980420453903336</c:v>
                </c:pt>
                <c:pt idx="43">
                  <c:v>0.16281738389701275</c:v>
                </c:pt>
                <c:pt idx="44">
                  <c:v>0.15611804531597109</c:v>
                </c:pt>
                <c:pt idx="45">
                  <c:v>0.14969435996279248</c:v>
                </c:pt>
                <c:pt idx="46">
                  <c:v>0.14353498571748824</c:v>
                </c:pt>
                <c:pt idx="47">
                  <c:v>0.13762904714673543</c:v>
                </c:pt>
                <c:pt idx="48">
                  <c:v>0.13196611630143124</c:v>
                </c:pt>
                <c:pt idx="49">
                  <c:v>0.12653619430435736</c:v>
                </c:pt>
                <c:pt idx="50">
                  <c:v>0.12132969369544465</c:v>
                </c:pt>
                <c:pt idx="51">
                  <c:v>0.11633742150346545</c:v>
                </c:pt>
                <c:pt idx="52">
                  <c:v>0.11155056301426348</c:v>
                </c:pt>
                <c:pt idx="53">
                  <c:v>0.10696066620686187</c:v>
                </c:pt>
                <c:pt idx="54">
                  <c:v>0.10255962682996832</c:v>
                </c:pt>
                <c:pt idx="55">
                  <c:v>9.8339674092526932E-2</c:v>
                </c:pt>
                <c:pt idx="56">
                  <c:v>9.4293356943051951E-2</c:v>
                </c:pt>
                <c:pt idx="57">
                  <c:v>9.0413530913516352E-2</c:v>
                </c:pt>
                <c:pt idx="58">
                  <c:v>8.6693345504566074E-2</c:v>
                </c:pt>
                <c:pt idx="59">
                  <c:v>8.3126232089786686E-2</c:v>
                </c:pt>
                <c:pt idx="60">
                  <c:v>7.9705892317665172E-2</c:v>
                </c:pt>
                <c:pt idx="61">
                  <c:v>7.6426286990768116E-2</c:v>
                </c:pt>
                <c:pt idx="62">
                  <c:v>7.3281625402501355E-2</c:v>
                </c:pt>
                <c:pt idx="63">
                  <c:v>7.0266355112622761E-2</c:v>
                </c:pt>
                <c:pt idx="64">
                  <c:v>6.7375152143455019E-2</c:v>
                </c:pt>
                <c:pt idx="65">
                  <c:v>6.4602911579488526E-2</c:v>
                </c:pt>
                <c:pt idx="66">
                  <c:v>6.1944738553776177E-2</c:v>
                </c:pt>
                <c:pt idx="67">
                  <c:v>5.9395939605204784E-2</c:v>
                </c:pt>
                <c:pt idx="68">
                  <c:v>5.6952014391383234E-2</c:v>
                </c:pt>
                <c:pt idx="69">
                  <c:v>5.4608647742515011E-2</c:v>
                </c:pt>
                <c:pt idx="70">
                  <c:v>5.2361702042224491E-2</c:v>
                </c:pt>
                <c:pt idx="71">
                  <c:v>5.0207209921884495E-2</c:v>
                </c:pt>
                <c:pt idx="72">
                  <c:v>4.814136725554554E-2</c:v>
                </c:pt>
                <c:pt idx="73">
                  <c:v>4.6160526443097816E-2</c:v>
                </c:pt>
              </c:numCache>
            </c:numRef>
          </c:val>
          <c:smooth val="0"/>
        </c:ser>
        <c:ser>
          <c:idx val="5"/>
          <c:order val="5"/>
          <c:tx>
            <c:v>2015</c:v>
          </c:tx>
          <c:marker>
            <c:symbol val="none"/>
          </c:marker>
          <c:cat>
            <c:numRef>
              <c:f>'Inciner 2 - Total - Exponencial'!$AJ$6:$AJ$79</c:f>
              <c:numCache>
                <c:formatCode>General</c:formatCode>
                <c:ptCount val="74"/>
                <c:pt idx="0">
                  <c:v>1</c:v>
                </c:pt>
                <c:pt idx="1">
                  <c:v>6</c:v>
                </c:pt>
                <c:pt idx="2">
                  <c:v>11</c:v>
                </c:pt>
                <c:pt idx="3">
                  <c:v>16</c:v>
                </c:pt>
                <c:pt idx="4">
                  <c:v>21</c:v>
                </c:pt>
                <c:pt idx="5">
                  <c:v>26</c:v>
                </c:pt>
                <c:pt idx="6">
                  <c:v>31</c:v>
                </c:pt>
                <c:pt idx="7">
                  <c:v>36</c:v>
                </c:pt>
                <c:pt idx="8">
                  <c:v>41</c:v>
                </c:pt>
                <c:pt idx="9">
                  <c:v>46</c:v>
                </c:pt>
                <c:pt idx="10">
                  <c:v>51</c:v>
                </c:pt>
                <c:pt idx="11">
                  <c:v>56</c:v>
                </c:pt>
                <c:pt idx="12">
                  <c:v>61</c:v>
                </c:pt>
                <c:pt idx="13">
                  <c:v>66</c:v>
                </c:pt>
                <c:pt idx="14">
                  <c:v>71</c:v>
                </c:pt>
                <c:pt idx="15">
                  <c:v>76</c:v>
                </c:pt>
                <c:pt idx="16">
                  <c:v>81</c:v>
                </c:pt>
                <c:pt idx="17">
                  <c:v>86</c:v>
                </c:pt>
                <c:pt idx="18">
                  <c:v>91</c:v>
                </c:pt>
                <c:pt idx="19">
                  <c:v>96</c:v>
                </c:pt>
                <c:pt idx="20">
                  <c:v>101</c:v>
                </c:pt>
                <c:pt idx="21">
                  <c:v>106</c:v>
                </c:pt>
                <c:pt idx="22">
                  <c:v>111</c:v>
                </c:pt>
                <c:pt idx="23">
                  <c:v>116</c:v>
                </c:pt>
                <c:pt idx="24">
                  <c:v>121</c:v>
                </c:pt>
                <c:pt idx="25">
                  <c:v>126</c:v>
                </c:pt>
                <c:pt idx="26">
                  <c:v>131</c:v>
                </c:pt>
                <c:pt idx="27">
                  <c:v>136</c:v>
                </c:pt>
                <c:pt idx="28">
                  <c:v>141</c:v>
                </c:pt>
                <c:pt idx="29">
                  <c:v>146</c:v>
                </c:pt>
                <c:pt idx="30">
                  <c:v>151</c:v>
                </c:pt>
                <c:pt idx="31">
                  <c:v>156</c:v>
                </c:pt>
                <c:pt idx="32">
                  <c:v>161</c:v>
                </c:pt>
                <c:pt idx="33">
                  <c:v>166</c:v>
                </c:pt>
                <c:pt idx="34">
                  <c:v>171</c:v>
                </c:pt>
                <c:pt idx="35">
                  <c:v>176</c:v>
                </c:pt>
                <c:pt idx="36">
                  <c:v>181</c:v>
                </c:pt>
                <c:pt idx="37">
                  <c:v>186</c:v>
                </c:pt>
                <c:pt idx="38">
                  <c:v>191</c:v>
                </c:pt>
                <c:pt idx="39">
                  <c:v>196</c:v>
                </c:pt>
                <c:pt idx="40">
                  <c:v>201</c:v>
                </c:pt>
                <c:pt idx="41">
                  <c:v>206</c:v>
                </c:pt>
                <c:pt idx="42">
                  <c:v>211</c:v>
                </c:pt>
                <c:pt idx="43">
                  <c:v>216</c:v>
                </c:pt>
                <c:pt idx="44">
                  <c:v>221</c:v>
                </c:pt>
                <c:pt idx="45">
                  <c:v>226</c:v>
                </c:pt>
                <c:pt idx="46">
                  <c:v>231</c:v>
                </c:pt>
                <c:pt idx="47">
                  <c:v>236</c:v>
                </c:pt>
                <c:pt idx="48">
                  <c:v>241</c:v>
                </c:pt>
                <c:pt idx="49">
                  <c:v>246</c:v>
                </c:pt>
                <c:pt idx="50">
                  <c:v>251</c:v>
                </c:pt>
                <c:pt idx="51">
                  <c:v>256</c:v>
                </c:pt>
                <c:pt idx="52">
                  <c:v>261</c:v>
                </c:pt>
                <c:pt idx="53">
                  <c:v>266</c:v>
                </c:pt>
                <c:pt idx="54">
                  <c:v>271</c:v>
                </c:pt>
                <c:pt idx="55">
                  <c:v>276</c:v>
                </c:pt>
                <c:pt idx="56">
                  <c:v>281</c:v>
                </c:pt>
                <c:pt idx="57">
                  <c:v>286</c:v>
                </c:pt>
                <c:pt idx="58">
                  <c:v>291</c:v>
                </c:pt>
                <c:pt idx="59">
                  <c:v>296</c:v>
                </c:pt>
                <c:pt idx="60">
                  <c:v>301</c:v>
                </c:pt>
                <c:pt idx="61">
                  <c:v>306</c:v>
                </c:pt>
                <c:pt idx="62">
                  <c:v>311</c:v>
                </c:pt>
                <c:pt idx="63">
                  <c:v>316</c:v>
                </c:pt>
                <c:pt idx="64">
                  <c:v>321</c:v>
                </c:pt>
                <c:pt idx="65">
                  <c:v>326</c:v>
                </c:pt>
                <c:pt idx="66">
                  <c:v>331</c:v>
                </c:pt>
                <c:pt idx="67">
                  <c:v>336</c:v>
                </c:pt>
                <c:pt idx="68">
                  <c:v>341</c:v>
                </c:pt>
                <c:pt idx="69">
                  <c:v>346</c:v>
                </c:pt>
                <c:pt idx="70">
                  <c:v>351</c:v>
                </c:pt>
                <c:pt idx="71">
                  <c:v>356</c:v>
                </c:pt>
                <c:pt idx="72">
                  <c:v>361</c:v>
                </c:pt>
                <c:pt idx="73">
                  <c:v>366</c:v>
                </c:pt>
              </c:numCache>
            </c:numRef>
          </c:cat>
          <c:val>
            <c:numRef>
              <c:f>'Inciner 2 - Total - Exponencial'!$AP$6:$AP$79</c:f>
              <c:numCache>
                <c:formatCode>General</c:formatCode>
                <c:ptCount val="74"/>
                <c:pt idx="0">
                  <c:v>0.9888269325324206</c:v>
                </c:pt>
                <c:pt idx="1">
                  <c:v>0.93480649312498687</c:v>
                </c:pt>
                <c:pt idx="2">
                  <c:v>0.88373723534273252</c:v>
                </c:pt>
                <c:pt idx="3">
                  <c:v>0.83545793367397481</c:v>
                </c:pt>
                <c:pt idx="4">
                  <c:v>0.78981617049109842</c:v>
                </c:pt>
                <c:pt idx="5">
                  <c:v>0.74666785486850906</c:v>
                </c:pt>
                <c:pt idx="6">
                  <c:v>0.70587676768796215</c:v>
                </c:pt>
                <c:pt idx="7">
                  <c:v>0.66731413159516684</c:v>
                </c:pt>
                <c:pt idx="8">
                  <c:v>0.63085820445001994</c:v>
                </c:pt>
                <c:pt idx="9">
                  <c:v>0.59639389498699125</c:v>
                </c:pt>
                <c:pt idx="10">
                  <c:v>0.56381239947230277</c:v>
                </c:pt>
                <c:pt idx="11">
                  <c:v>0.53301085821082961</c:v>
                </c:pt>
                <c:pt idx="12">
                  <c:v>0.5038920308183138</c:v>
                </c:pt>
                <c:pt idx="13">
                  <c:v>0.47636398923372941</c:v>
                </c:pt>
                <c:pt idx="14">
                  <c:v>0.45033982750263662</c:v>
                </c:pt>
                <c:pt idx="15">
                  <c:v>0.42573738741531353</c:v>
                </c:pt>
                <c:pt idx="16">
                  <c:v>0.4024789991335056</c:v>
                </c:pt>
                <c:pt idx="17">
                  <c:v>0.38049123598695195</c:v>
                </c:pt>
                <c:pt idx="18">
                  <c:v>0.35970468266558103</c:v>
                </c:pt>
                <c:pt idx="19">
                  <c:v>0.34005371607556145</c:v>
                </c:pt>
                <c:pt idx="20">
                  <c:v>0.32147629816736722</c:v>
                </c:pt>
                <c:pt idx="21">
                  <c:v>0.30391378008182041</c:v>
                </c:pt>
                <c:pt idx="22">
                  <c:v>0.28731071699579769</c:v>
                </c:pt>
                <c:pt idx="23">
                  <c:v>0.27161469308307018</c:v>
                </c:pt>
                <c:pt idx="24">
                  <c:v>0.25677615603767917</c:v>
                </c:pt>
                <c:pt idx="25">
                  <c:v>0.24274826063743693</c:v>
                </c:pt>
                <c:pt idx="26">
                  <c:v>0.22948672085368443</c:v>
                </c:pt>
                <c:pt idx="27">
                  <c:v>0.21694967004041621</c:v>
                </c:pt>
                <c:pt idx="28">
                  <c:v>0.20509752876138934</c:v>
                </c:pt>
                <c:pt idx="29">
                  <c:v>0.19389287983794812</c:v>
                </c:pt>
                <c:pt idx="30">
                  <c:v>0.1833003502230903</c:v>
                </c:pt>
                <c:pt idx="31">
                  <c:v>0.17328649932885085</c:v>
                </c:pt>
                <c:pt idx="32">
                  <c:v>0.16381971345445456</c:v>
                </c:pt>
                <c:pt idx="33">
                  <c:v>0.15487010598194637</c:v>
                </c:pt>
                <c:pt idx="34">
                  <c:v>0.14640942302421725</c:v>
                </c:pt>
                <c:pt idx="35">
                  <c:v>0.13841095422755781</c:v>
                </c:pt>
                <c:pt idx="36">
                  <c:v>0.13084944844714186</c:v>
                </c:pt>
                <c:pt idx="37">
                  <c:v>0.12370103402922936</c:v>
                </c:pt>
                <c:pt idx="38">
                  <c:v>0.11694314344841851</c:v>
                </c:pt>
                <c:pt idx="39">
                  <c:v>0.11055444206202804</c:v>
                </c:pt>
                <c:pt idx="40">
                  <c:v>0.10451476075668635</c:v>
                </c:pt>
                <c:pt idx="41">
                  <c:v>9.8805032274494262E-2</c:v>
                </c:pt>
                <c:pt idx="42">
                  <c:v>9.3407231017742134E-2</c:v>
                </c:pt>
                <c:pt idx="43">
                  <c:v>8.8304316142145678E-2</c:v>
                </c:pt>
                <c:pt idx="44">
                  <c:v>8.3480177758945562E-2</c:v>
                </c:pt>
                <c:pt idx="45">
                  <c:v>7.8919586076031376E-2</c:v>
                </c:pt>
                <c:pt idx="46">
                  <c:v>7.4608143317528006E-2</c:v>
                </c:pt>
                <c:pt idx="47">
                  <c:v>7.0532238270055503E-2</c:v>
                </c:pt>
                <c:pt idx="48">
                  <c:v>6.6679003312164337E-2</c:v>
                </c:pt>
                <c:pt idx="49">
                  <c:v>6.303627379128858E-2</c:v>
                </c:pt>
                <c:pt idx="50">
                  <c:v>5.9592549619969994E-2</c:v>
                </c:pt>
                <c:pt idx="51">
                  <c:v>5.633695897011224E-2</c:v>
                </c:pt>
                <c:pt idx="52">
                  <c:v>5.3259223950648416E-2</c:v>
                </c:pt>
                <c:pt idx="53">
                  <c:v>5.0349628160266141E-2</c:v>
                </c:pt>
                <c:pt idx="54">
                  <c:v>4.7598986012754328E-2</c:v>
                </c:pt>
                <c:pt idx="55">
                  <c:v>4.4998613738131875E-2</c:v>
                </c:pt>
                <c:pt idx="56">
                  <c:v>4.2540301968008676E-2</c:v>
                </c:pt>
                <c:pt idx="57">
                  <c:v>4.0216289818631464E-2</c:v>
                </c:pt>
                <c:pt idx="58">
                  <c:v>3.801924038979429E-2</c:v>
                </c:pt>
                <c:pt idx="59">
                  <c:v>3.5942217602263959E-2</c:v>
                </c:pt>
                <c:pt idx="60">
                  <c:v>3.3978664300596338E-2</c:v>
                </c:pt>
                <c:pt idx="61">
                  <c:v>3.2122381552213863E-2</c:v>
                </c:pt>
                <c:pt idx="62">
                  <c:v>3.0367509077391847E-2</c:v>
                </c:pt>
                <c:pt idx="63">
                  <c:v>2.8708506748370884E-2</c:v>
                </c:pt>
                <c:pt idx="64">
                  <c:v>2.7140137099188194E-2</c:v>
                </c:pt>
                <c:pt idx="65">
                  <c:v>2.5657448791011391E-2</c:v>
                </c:pt>
                <c:pt idx="66">
                  <c:v>2.4255760980774973E-2</c:v>
                </c:pt>
                <c:pt idx="67">
                  <c:v>2.293064854377105E-2</c:v>
                </c:pt>
                <c:pt idx="68">
                  <c:v>2.167792810354242E-2</c:v>
                </c:pt>
                <c:pt idx="69">
                  <c:v>2.0493644824974133E-2</c:v>
                </c:pt>
                <c:pt idx="70">
                  <c:v>1.9374059928889506E-2</c:v>
                </c:pt>
                <c:pt idx="71">
                  <c:v>1.8315638888734179E-2</c:v>
                </c:pt>
                <c:pt idx="72">
                  <c:v>1.7315040272085101E-2</c:v>
                </c:pt>
                <c:pt idx="73">
                  <c:v>1.6369105191757192E-2</c:v>
                </c:pt>
              </c:numCache>
            </c:numRef>
          </c:val>
          <c:smooth val="0"/>
        </c:ser>
        <c:dLbls>
          <c:showLegendKey val="0"/>
          <c:showVal val="0"/>
          <c:showCatName val="0"/>
          <c:showSerName val="0"/>
          <c:showPercent val="0"/>
          <c:showBubbleSize val="0"/>
        </c:dLbls>
        <c:marker val="1"/>
        <c:smooth val="0"/>
        <c:axId val="119048448"/>
        <c:axId val="119074816"/>
      </c:lineChart>
      <c:catAx>
        <c:axId val="119048448"/>
        <c:scaling>
          <c:orientation val="minMax"/>
        </c:scaling>
        <c:delete val="0"/>
        <c:axPos val="b"/>
        <c:numFmt formatCode="General" sourceLinked="1"/>
        <c:majorTickMark val="out"/>
        <c:minorTickMark val="none"/>
        <c:tickLblPos val="nextTo"/>
        <c:crossAx val="119074816"/>
        <c:crosses val="autoZero"/>
        <c:auto val="1"/>
        <c:lblAlgn val="ctr"/>
        <c:lblOffset val="100"/>
        <c:noMultiLvlLbl val="0"/>
      </c:catAx>
      <c:valAx>
        <c:axId val="119074816"/>
        <c:scaling>
          <c:orientation val="minMax"/>
          <c:max val="1"/>
        </c:scaling>
        <c:delete val="0"/>
        <c:axPos val="l"/>
        <c:majorGridlines/>
        <c:numFmt formatCode="General" sourceLinked="1"/>
        <c:majorTickMark val="out"/>
        <c:minorTickMark val="none"/>
        <c:tickLblPos val="nextTo"/>
        <c:crossAx val="119048448"/>
        <c:crosses val="autoZero"/>
        <c:crossBetween val="between"/>
      </c:valAx>
    </c:plotArea>
    <c:legend>
      <c:legendPos val="r"/>
      <c:layout/>
      <c:overlay val="0"/>
    </c:legend>
    <c:plotVisOnly val="1"/>
    <c:dispBlanksAs val="gap"/>
    <c:showDLblsOverMax val="0"/>
  </c:chart>
  <c:printSettings>
    <c:headerFooter/>
    <c:pageMargins b="0.75" l="0.7" r="0.7" t="0.75" header="0.3" footer="0.3"/>
    <c:pageSetup/>
  </c:printSettings>
</c:chartSpace>
</file>

<file path=xl/charts/chart121.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pt-PT"/>
              <a:t>Forno</a:t>
            </a:r>
            <a:r>
              <a:rPr lang="pt-PT" baseline="0"/>
              <a:t> 2 - Electrofiltro</a:t>
            </a:r>
            <a:endParaRPr lang="pt-PT"/>
          </a:p>
        </c:rich>
      </c:tx>
      <c:layout/>
      <c:overlay val="0"/>
    </c:title>
    <c:autoTitleDeleted val="0"/>
    <c:plotArea>
      <c:layout/>
      <c:lineChart>
        <c:grouping val="standard"/>
        <c:varyColors val="0"/>
        <c:ser>
          <c:idx val="0"/>
          <c:order val="0"/>
          <c:tx>
            <c:v>2011</c:v>
          </c:tx>
          <c:marker>
            <c:symbol val="none"/>
          </c:marker>
          <c:cat>
            <c:numRef>
              <c:f>'Inciner 2 - Total - Exponencial'!$AJ$6:$AJ$79</c:f>
              <c:numCache>
                <c:formatCode>General</c:formatCode>
                <c:ptCount val="74"/>
                <c:pt idx="0">
                  <c:v>1</c:v>
                </c:pt>
                <c:pt idx="1">
                  <c:v>6</c:v>
                </c:pt>
                <c:pt idx="2">
                  <c:v>11</c:v>
                </c:pt>
                <c:pt idx="3">
                  <c:v>16</c:v>
                </c:pt>
                <c:pt idx="4">
                  <c:v>21</c:v>
                </c:pt>
                <c:pt idx="5">
                  <c:v>26</c:v>
                </c:pt>
                <c:pt idx="6">
                  <c:v>31</c:v>
                </c:pt>
                <c:pt idx="7">
                  <c:v>36</c:v>
                </c:pt>
                <c:pt idx="8">
                  <c:v>41</c:v>
                </c:pt>
                <c:pt idx="9">
                  <c:v>46</c:v>
                </c:pt>
                <c:pt idx="10">
                  <c:v>51</c:v>
                </c:pt>
                <c:pt idx="11">
                  <c:v>56</c:v>
                </c:pt>
                <c:pt idx="12">
                  <c:v>61</c:v>
                </c:pt>
                <c:pt idx="13">
                  <c:v>66</c:v>
                </c:pt>
                <c:pt idx="14">
                  <c:v>71</c:v>
                </c:pt>
                <c:pt idx="15">
                  <c:v>76</c:v>
                </c:pt>
                <c:pt idx="16">
                  <c:v>81</c:v>
                </c:pt>
                <c:pt idx="17">
                  <c:v>86</c:v>
                </c:pt>
                <c:pt idx="18">
                  <c:v>91</c:v>
                </c:pt>
                <c:pt idx="19">
                  <c:v>96</c:v>
                </c:pt>
                <c:pt idx="20">
                  <c:v>101</c:v>
                </c:pt>
                <c:pt idx="21">
                  <c:v>106</c:v>
                </c:pt>
                <c:pt idx="22">
                  <c:v>111</c:v>
                </c:pt>
                <c:pt idx="23">
                  <c:v>116</c:v>
                </c:pt>
                <c:pt idx="24">
                  <c:v>121</c:v>
                </c:pt>
                <c:pt idx="25">
                  <c:v>126</c:v>
                </c:pt>
                <c:pt idx="26">
                  <c:v>131</c:v>
                </c:pt>
                <c:pt idx="27">
                  <c:v>136</c:v>
                </c:pt>
                <c:pt idx="28">
                  <c:v>141</c:v>
                </c:pt>
                <c:pt idx="29">
                  <c:v>146</c:v>
                </c:pt>
                <c:pt idx="30">
                  <c:v>151</c:v>
                </c:pt>
                <c:pt idx="31">
                  <c:v>156</c:v>
                </c:pt>
                <c:pt idx="32">
                  <c:v>161</c:v>
                </c:pt>
                <c:pt idx="33">
                  <c:v>166</c:v>
                </c:pt>
                <c:pt idx="34">
                  <c:v>171</c:v>
                </c:pt>
                <c:pt idx="35">
                  <c:v>176</c:v>
                </c:pt>
                <c:pt idx="36">
                  <c:v>181</c:v>
                </c:pt>
                <c:pt idx="37">
                  <c:v>186</c:v>
                </c:pt>
                <c:pt idx="38">
                  <c:v>191</c:v>
                </c:pt>
                <c:pt idx="39">
                  <c:v>196</c:v>
                </c:pt>
                <c:pt idx="40">
                  <c:v>201</c:v>
                </c:pt>
                <c:pt idx="41">
                  <c:v>206</c:v>
                </c:pt>
                <c:pt idx="42">
                  <c:v>211</c:v>
                </c:pt>
                <c:pt idx="43">
                  <c:v>216</c:v>
                </c:pt>
                <c:pt idx="44">
                  <c:v>221</c:v>
                </c:pt>
                <c:pt idx="45">
                  <c:v>226</c:v>
                </c:pt>
                <c:pt idx="46">
                  <c:v>231</c:v>
                </c:pt>
                <c:pt idx="47">
                  <c:v>236</c:v>
                </c:pt>
                <c:pt idx="48">
                  <c:v>241</c:v>
                </c:pt>
                <c:pt idx="49">
                  <c:v>246</c:v>
                </c:pt>
                <c:pt idx="50">
                  <c:v>251</c:v>
                </c:pt>
                <c:pt idx="51">
                  <c:v>256</c:v>
                </c:pt>
                <c:pt idx="52">
                  <c:v>261</c:v>
                </c:pt>
                <c:pt idx="53">
                  <c:v>266</c:v>
                </c:pt>
                <c:pt idx="54">
                  <c:v>271</c:v>
                </c:pt>
                <c:pt idx="55">
                  <c:v>276</c:v>
                </c:pt>
                <c:pt idx="56">
                  <c:v>281</c:v>
                </c:pt>
                <c:pt idx="57">
                  <c:v>286</c:v>
                </c:pt>
                <c:pt idx="58">
                  <c:v>291</c:v>
                </c:pt>
                <c:pt idx="59">
                  <c:v>296</c:v>
                </c:pt>
                <c:pt idx="60">
                  <c:v>301</c:v>
                </c:pt>
                <c:pt idx="61">
                  <c:v>306</c:v>
                </c:pt>
                <c:pt idx="62">
                  <c:v>311</c:v>
                </c:pt>
                <c:pt idx="63">
                  <c:v>316</c:v>
                </c:pt>
                <c:pt idx="64">
                  <c:v>321</c:v>
                </c:pt>
                <c:pt idx="65">
                  <c:v>326</c:v>
                </c:pt>
                <c:pt idx="66">
                  <c:v>331</c:v>
                </c:pt>
                <c:pt idx="67">
                  <c:v>336</c:v>
                </c:pt>
                <c:pt idx="68">
                  <c:v>341</c:v>
                </c:pt>
                <c:pt idx="69">
                  <c:v>346</c:v>
                </c:pt>
                <c:pt idx="70">
                  <c:v>351</c:v>
                </c:pt>
                <c:pt idx="71">
                  <c:v>356</c:v>
                </c:pt>
                <c:pt idx="72">
                  <c:v>361</c:v>
                </c:pt>
                <c:pt idx="73">
                  <c:v>366</c:v>
                </c:pt>
              </c:numCache>
            </c:numRef>
          </c:cat>
          <c:val>
            <c:numRef>
              <c:f>'Inciner 2 - Total - Exponencial'!$AQ$6:$AQ$79</c:f>
              <c:numCache>
                <c:formatCode>General</c:formatCode>
                <c:ptCount val="74"/>
                <c:pt idx="0">
                  <c:v>0.99721836062779279</c:v>
                </c:pt>
                <c:pt idx="1">
                  <c:v>0.98342579696807908</c:v>
                </c:pt>
                <c:pt idx="2">
                  <c:v>0.96982399876136749</c:v>
                </c:pt>
                <c:pt idx="3">
                  <c:v>0.95641032752369259</c:v>
                </c:pt>
                <c:pt idx="4">
                  <c:v>0.94318218126405728</c:v>
                </c:pt>
                <c:pt idx="5">
                  <c:v>0.93013699397969707</c:v>
                </c:pt>
                <c:pt idx="6">
                  <c:v>0.9172722351583259</c:v>
                </c:pt>
                <c:pt idx="7">
                  <c:v>0.9045854092872655</c:v>
                </c:pt>
                <c:pt idx="8">
                  <c:v>0.89207405536936502</c:v>
                </c:pt>
                <c:pt idx="9">
                  <c:v>0.87973574644561525</c:v>
                </c:pt>
                <c:pt idx="10">
                  <c:v>0.867568089124366</c:v>
                </c:pt>
                <c:pt idx="11">
                  <c:v>0.85556872311705456</c:v>
                </c:pt>
                <c:pt idx="12">
                  <c:v>0.84373532078035562</c:v>
                </c:pt>
                <c:pt idx="13">
                  <c:v>0.83206558666466413</c:v>
                </c:pt>
                <c:pt idx="14">
                  <c:v>0.82055725706882254</c:v>
                </c:pt>
                <c:pt idx="15">
                  <c:v>0.80920809960100692</c:v>
                </c:pt>
                <c:pt idx="16">
                  <c:v>0.79801591274568617</c:v>
                </c:pt>
                <c:pt idx="17">
                  <c:v>0.78697852543657143</c:v>
                </c:pt>
                <c:pt idx="18">
                  <c:v>0.77609379663547085</c:v>
                </c:pt>
                <c:pt idx="19">
                  <c:v>0.76535961491697058</c:v>
                </c:pt>
                <c:pt idx="20">
                  <c:v>0.75477389805885875</c:v>
                </c:pt>
                <c:pt idx="21">
                  <c:v>0.74433459263821511</c:v>
                </c:pt>
                <c:pt idx="22">
                  <c:v>0.73403967363308709</c:v>
                </c:pt>
                <c:pt idx="23">
                  <c:v>0.7238871440296748</c:v>
                </c:pt>
                <c:pt idx="24">
                  <c:v>0.7138750344349496</c:v>
                </c:pt>
                <c:pt idx="25">
                  <c:v>0.70400140269462974</c:v>
                </c:pt>
                <c:pt idx="26">
                  <c:v>0.69426433351644024</c:v>
                </c:pt>
                <c:pt idx="27">
                  <c:v>0.68466193809858422</c:v>
                </c:pt>
                <c:pt idx="28">
                  <c:v>0.67519235376335118</c:v>
                </c:pt>
                <c:pt idx="29">
                  <c:v>0.66585374359579441</c:v>
                </c:pt>
                <c:pt idx="30">
                  <c:v>0.65664429608740515</c:v>
                </c:pt>
                <c:pt idx="31">
                  <c:v>0.64756222478471492</c:v>
                </c:pt>
                <c:pt idx="32">
                  <c:v>0.63860576794275881</c:v>
                </c:pt>
                <c:pt idx="33">
                  <c:v>0.62977318818333095</c:v>
                </c:pt>
                <c:pt idx="34">
                  <c:v>0.62106277215796701</c:v>
                </c:pt>
                <c:pt idx="35">
                  <c:v>0.61247283021558807</c:v>
                </c:pt>
                <c:pt idx="36">
                  <c:v>0.60400169607474108</c:v>
                </c:pt>
                <c:pt idx="37">
                  <c:v>0.5956477265003729</c:v>
                </c:pt>
                <c:pt idx="38">
                  <c:v>0.58740930098507438</c:v>
                </c:pt>
                <c:pt idx="39">
                  <c:v>0.57928482143473381</c:v>
                </c:pt>
                <c:pt idx="40">
                  <c:v>0.57127271185853779</c:v>
                </c:pt>
                <c:pt idx="41">
                  <c:v>0.56337141806325919</c:v>
                </c:pt>
                <c:pt idx="42">
                  <c:v>0.5555794073517748</c:v>
                </c:pt>
                <c:pt idx="43">
                  <c:v>0.54789516822575102</c:v>
                </c:pt>
                <c:pt idx="44">
                  <c:v>0.54031721009244316</c:v>
                </c:pt>
                <c:pt idx="45">
                  <c:v>0.53284406297554965</c:v>
                </c:pt>
                <c:pt idx="46">
                  <c:v>0.52547427723006446</c:v>
                </c:pt>
                <c:pt idx="47">
                  <c:v>0.51820642326107513</c:v>
                </c:pt>
                <c:pt idx="48">
                  <c:v>0.51103909124644864</c:v>
                </c:pt>
                <c:pt idx="49">
                  <c:v>0.50397089086335345</c:v>
                </c:pt>
                <c:pt idx="50">
                  <c:v>0.4970004510185641</c:v>
                </c:pt>
                <c:pt idx="51">
                  <c:v>0.49012641958249575</c:v>
                </c:pt>
                <c:pt idx="52">
                  <c:v>0.48334746312691729</c:v>
                </c:pt>
                <c:pt idx="53">
                  <c:v>0.47666226666629236</c:v>
                </c:pt>
                <c:pt idx="54">
                  <c:v>0.47006953340269758</c:v>
                </c:pt>
                <c:pt idx="55">
                  <c:v>0.46356798447426928</c:v>
                </c:pt>
                <c:pt idx="56">
                  <c:v>0.45715635870712901</c:v>
                </c:pt>
                <c:pt idx="57">
                  <c:v>0.45083341237074037</c:v>
                </c:pt>
                <c:pt idx="58">
                  <c:v>0.44459791893664952</c:v>
                </c:pt>
                <c:pt idx="59">
                  <c:v>0.43844866884056272</c:v>
                </c:pt>
                <c:pt idx="60">
                  <c:v>0.43238446924771412</c:v>
                </c:pt>
                <c:pt idx="61">
                  <c:v>0.42640414382147923</c:v>
                </c:pt>
                <c:pt idx="62">
                  <c:v>0.42050653249518855</c:v>
                </c:pt>
                <c:pt idx="63">
                  <c:v>0.41469049124709711</c:v>
                </c:pt>
                <c:pt idx="64">
                  <c:v>0.40895489187846656</c:v>
                </c:pt>
                <c:pt idx="65">
                  <c:v>0.40329862179471665</c:v>
                </c:pt>
                <c:pt idx="66">
                  <c:v>0.39772058378960357</c:v>
                </c:pt>
                <c:pt idx="67">
                  <c:v>0.39221969583238303</c:v>
                </c:pt>
                <c:pt idx="68">
                  <c:v>0.38679489085791779</c:v>
                </c:pt>
                <c:pt idx="69">
                  <c:v>0.38144511655968755</c:v>
                </c:pt>
                <c:pt idx="70">
                  <c:v>0.37616933518566198</c:v>
                </c:pt>
                <c:pt idx="71">
                  <c:v>0.37096652333699709</c:v>
                </c:pt>
                <c:pt idx="72">
                  <c:v>0.36583567176951587</c:v>
                </c:pt>
                <c:pt idx="73">
                  <c:v>0.36077578519793424</c:v>
                </c:pt>
              </c:numCache>
            </c:numRef>
          </c:val>
          <c:smooth val="0"/>
        </c:ser>
        <c:ser>
          <c:idx val="1"/>
          <c:order val="1"/>
          <c:tx>
            <c:v>2012</c:v>
          </c:tx>
          <c:marker>
            <c:symbol val="none"/>
          </c:marker>
          <c:cat>
            <c:numRef>
              <c:f>'Inciner 2 - Total - Exponencial'!$AJ$6:$AJ$79</c:f>
              <c:numCache>
                <c:formatCode>General</c:formatCode>
                <c:ptCount val="74"/>
                <c:pt idx="0">
                  <c:v>1</c:v>
                </c:pt>
                <c:pt idx="1">
                  <c:v>6</c:v>
                </c:pt>
                <c:pt idx="2">
                  <c:v>11</c:v>
                </c:pt>
                <c:pt idx="3">
                  <c:v>16</c:v>
                </c:pt>
                <c:pt idx="4">
                  <c:v>21</c:v>
                </c:pt>
                <c:pt idx="5">
                  <c:v>26</c:v>
                </c:pt>
                <c:pt idx="6">
                  <c:v>31</c:v>
                </c:pt>
                <c:pt idx="7">
                  <c:v>36</c:v>
                </c:pt>
                <c:pt idx="8">
                  <c:v>41</c:v>
                </c:pt>
                <c:pt idx="9">
                  <c:v>46</c:v>
                </c:pt>
                <c:pt idx="10">
                  <c:v>51</c:v>
                </c:pt>
                <c:pt idx="11">
                  <c:v>56</c:v>
                </c:pt>
                <c:pt idx="12">
                  <c:v>61</c:v>
                </c:pt>
                <c:pt idx="13">
                  <c:v>66</c:v>
                </c:pt>
                <c:pt idx="14">
                  <c:v>71</c:v>
                </c:pt>
                <c:pt idx="15">
                  <c:v>76</c:v>
                </c:pt>
                <c:pt idx="16">
                  <c:v>81</c:v>
                </c:pt>
                <c:pt idx="17">
                  <c:v>86</c:v>
                </c:pt>
                <c:pt idx="18">
                  <c:v>91</c:v>
                </c:pt>
                <c:pt idx="19">
                  <c:v>96</c:v>
                </c:pt>
                <c:pt idx="20">
                  <c:v>101</c:v>
                </c:pt>
                <c:pt idx="21">
                  <c:v>106</c:v>
                </c:pt>
                <c:pt idx="22">
                  <c:v>111</c:v>
                </c:pt>
                <c:pt idx="23">
                  <c:v>116</c:v>
                </c:pt>
                <c:pt idx="24">
                  <c:v>121</c:v>
                </c:pt>
                <c:pt idx="25">
                  <c:v>126</c:v>
                </c:pt>
                <c:pt idx="26">
                  <c:v>131</c:v>
                </c:pt>
                <c:pt idx="27">
                  <c:v>136</c:v>
                </c:pt>
                <c:pt idx="28">
                  <c:v>141</c:v>
                </c:pt>
                <c:pt idx="29">
                  <c:v>146</c:v>
                </c:pt>
                <c:pt idx="30">
                  <c:v>151</c:v>
                </c:pt>
                <c:pt idx="31">
                  <c:v>156</c:v>
                </c:pt>
                <c:pt idx="32">
                  <c:v>161</c:v>
                </c:pt>
                <c:pt idx="33">
                  <c:v>166</c:v>
                </c:pt>
                <c:pt idx="34">
                  <c:v>171</c:v>
                </c:pt>
                <c:pt idx="35">
                  <c:v>176</c:v>
                </c:pt>
                <c:pt idx="36">
                  <c:v>181</c:v>
                </c:pt>
                <c:pt idx="37">
                  <c:v>186</c:v>
                </c:pt>
                <c:pt idx="38">
                  <c:v>191</c:v>
                </c:pt>
                <c:pt idx="39">
                  <c:v>196</c:v>
                </c:pt>
                <c:pt idx="40">
                  <c:v>201</c:v>
                </c:pt>
                <c:pt idx="41">
                  <c:v>206</c:v>
                </c:pt>
                <c:pt idx="42">
                  <c:v>211</c:v>
                </c:pt>
                <c:pt idx="43">
                  <c:v>216</c:v>
                </c:pt>
                <c:pt idx="44">
                  <c:v>221</c:v>
                </c:pt>
                <c:pt idx="45">
                  <c:v>226</c:v>
                </c:pt>
                <c:pt idx="46">
                  <c:v>231</c:v>
                </c:pt>
                <c:pt idx="47">
                  <c:v>236</c:v>
                </c:pt>
                <c:pt idx="48">
                  <c:v>241</c:v>
                </c:pt>
                <c:pt idx="49">
                  <c:v>246</c:v>
                </c:pt>
                <c:pt idx="50">
                  <c:v>251</c:v>
                </c:pt>
                <c:pt idx="51">
                  <c:v>256</c:v>
                </c:pt>
                <c:pt idx="52">
                  <c:v>261</c:v>
                </c:pt>
                <c:pt idx="53">
                  <c:v>266</c:v>
                </c:pt>
                <c:pt idx="54">
                  <c:v>271</c:v>
                </c:pt>
                <c:pt idx="55">
                  <c:v>276</c:v>
                </c:pt>
                <c:pt idx="56">
                  <c:v>281</c:v>
                </c:pt>
                <c:pt idx="57">
                  <c:v>286</c:v>
                </c:pt>
                <c:pt idx="58">
                  <c:v>291</c:v>
                </c:pt>
                <c:pt idx="59">
                  <c:v>296</c:v>
                </c:pt>
                <c:pt idx="60">
                  <c:v>301</c:v>
                </c:pt>
                <c:pt idx="61">
                  <c:v>306</c:v>
                </c:pt>
                <c:pt idx="62">
                  <c:v>311</c:v>
                </c:pt>
                <c:pt idx="63">
                  <c:v>316</c:v>
                </c:pt>
                <c:pt idx="64">
                  <c:v>321</c:v>
                </c:pt>
                <c:pt idx="65">
                  <c:v>326</c:v>
                </c:pt>
                <c:pt idx="66">
                  <c:v>331</c:v>
                </c:pt>
                <c:pt idx="67">
                  <c:v>336</c:v>
                </c:pt>
                <c:pt idx="68">
                  <c:v>341</c:v>
                </c:pt>
                <c:pt idx="69">
                  <c:v>346</c:v>
                </c:pt>
                <c:pt idx="70">
                  <c:v>351</c:v>
                </c:pt>
                <c:pt idx="71">
                  <c:v>356</c:v>
                </c:pt>
                <c:pt idx="72">
                  <c:v>361</c:v>
                </c:pt>
                <c:pt idx="73">
                  <c:v>366</c:v>
                </c:pt>
              </c:numCache>
            </c:numRef>
          </c:cat>
          <c:val>
            <c:numRef>
              <c:f>'Inciner 2 - Total - Exponencial'!$AR$6:$AR$79</c:f>
              <c:numCache>
                <c:formatCode>General</c:formatCode>
                <c:ptCount val="74"/>
                <c:pt idx="0">
                  <c:v>0.99163184820119987</c:v>
                </c:pt>
                <c:pt idx="1">
                  <c:v>0.95082983222576778</c:v>
                </c:pt>
                <c:pt idx="2">
                  <c:v>0.91170666965815983</c:v>
                </c:pt>
                <c:pt idx="3">
                  <c:v>0.87419328183406031</c:v>
                </c:pt>
                <c:pt idx="4">
                  <c:v>0.8382234324229999</c:v>
                </c:pt>
                <c:pt idx="5">
                  <c:v>0.80373361047673531</c:v>
                </c:pt>
                <c:pt idx="6">
                  <c:v>0.77066291828975986</c:v>
                </c:pt>
                <c:pt idx="7">
                  <c:v>0.73895296387394338</c:v>
                </c:pt>
                <c:pt idx="8">
                  <c:v>0.70854775785744606</c:v>
                </c:pt>
                <c:pt idx="9">
                  <c:v>0.67939361462586423</c:v>
                </c:pt>
                <c:pt idx="10">
                  <c:v>0.65143905753105558</c:v>
                </c:pt>
                <c:pt idx="11">
                  <c:v>0.62463472800027442</c:v>
                </c:pt>
                <c:pt idx="12">
                  <c:v>0.59893329838513198</c:v>
                </c:pt>
                <c:pt idx="13">
                  <c:v>0.57428938839650279</c:v>
                </c:pt>
                <c:pt idx="14">
                  <c:v>0.55065948497782913</c:v>
                </c:pt>
                <c:pt idx="15">
                  <c:v>0.52800186547534433</c:v>
                </c:pt>
                <c:pt idx="16">
                  <c:v>0.50627652396956024</c:v>
                </c:pt>
                <c:pt idx="17">
                  <c:v>0.48544510063794399</c:v>
                </c:pt>
                <c:pt idx="18">
                  <c:v>0.46547081402406171</c:v>
                </c:pt>
                <c:pt idx="19">
                  <c:v>0.44631839609359841</c:v>
                </c:pt>
                <c:pt idx="20">
                  <c:v>0.42795402996258514</c:v>
                </c:pt>
                <c:pt idx="21">
                  <c:v>0.41034529018788096</c:v>
                </c:pt>
                <c:pt idx="22">
                  <c:v>0.39346108551448272</c:v>
                </c:pt>
                <c:pt idx="23">
                  <c:v>0.37727160397857362</c:v>
                </c:pt>
                <c:pt idx="24">
                  <c:v>0.36174826026937951</c:v>
                </c:pt>
                <c:pt idx="25">
                  <c:v>0.34686364525689234</c:v>
                </c:pt>
                <c:pt idx="26">
                  <c:v>0.33259147759634267</c:v>
                </c:pt>
                <c:pt idx="27">
                  <c:v>0.31890655732397044</c:v>
                </c:pt>
                <c:pt idx="28">
                  <c:v>0.30578472136216034</c:v>
                </c:pt>
                <c:pt idx="29">
                  <c:v>0.29320280085537731</c:v>
                </c:pt>
                <c:pt idx="30">
                  <c:v>0.28113858026157157</c:v>
                </c:pt>
                <c:pt idx="31">
                  <c:v>0.26957075812682357</c:v>
                </c:pt>
                <c:pt idx="32">
                  <c:v>0.25847890947396718</c:v>
                </c:pt>
                <c:pt idx="33">
                  <c:v>0.24784344973878408</c:v>
                </c:pt>
                <c:pt idx="34">
                  <c:v>0.23764560019009123</c:v>
                </c:pt>
                <c:pt idx="35">
                  <c:v>0.22786735477266509</c:v>
                </c:pt>
                <c:pt idx="36">
                  <c:v>0.21849144831445771</c:v>
                </c:pt>
                <c:pt idx="37">
                  <c:v>0.20950132604196997</c:v>
                </c:pt>
                <c:pt idx="38">
                  <c:v>0.20088111434995476</c:v>
                </c:pt>
                <c:pt idx="39">
                  <c:v>0.19261559277384013</c:v>
                </c:pt>
                <c:pt idx="40">
                  <c:v>0.18469016711538452</c:v>
                </c:pt>
                <c:pt idx="41">
                  <c:v>0.17709084367411268</c:v>
                </c:pt>
                <c:pt idx="42">
                  <c:v>0.16980420453903336</c:v>
                </c:pt>
                <c:pt idx="43">
                  <c:v>0.16281738389701275</c:v>
                </c:pt>
                <c:pt idx="44">
                  <c:v>0.15611804531597109</c:v>
                </c:pt>
                <c:pt idx="45">
                  <c:v>0.14969435996279248</c:v>
                </c:pt>
                <c:pt idx="46">
                  <c:v>0.14353498571748824</c:v>
                </c:pt>
                <c:pt idx="47">
                  <c:v>0.13762904714673543</c:v>
                </c:pt>
                <c:pt idx="48">
                  <c:v>0.13196611630143124</c:v>
                </c:pt>
                <c:pt idx="49">
                  <c:v>0.12653619430435736</c:v>
                </c:pt>
                <c:pt idx="50">
                  <c:v>0.12132969369544465</c:v>
                </c:pt>
                <c:pt idx="51">
                  <c:v>0.11633742150346545</c:v>
                </c:pt>
                <c:pt idx="52">
                  <c:v>0.11155056301426348</c:v>
                </c:pt>
                <c:pt idx="53">
                  <c:v>0.10696066620686187</c:v>
                </c:pt>
                <c:pt idx="54">
                  <c:v>0.10255962682996832</c:v>
                </c:pt>
                <c:pt idx="55">
                  <c:v>9.8339674092526932E-2</c:v>
                </c:pt>
                <c:pt idx="56">
                  <c:v>9.4293356943051951E-2</c:v>
                </c:pt>
                <c:pt idx="57">
                  <c:v>9.0413530913516352E-2</c:v>
                </c:pt>
                <c:pt idx="58">
                  <c:v>8.6693345504566074E-2</c:v>
                </c:pt>
                <c:pt idx="59">
                  <c:v>8.3126232089786686E-2</c:v>
                </c:pt>
                <c:pt idx="60">
                  <c:v>7.9705892317665172E-2</c:v>
                </c:pt>
                <c:pt idx="61">
                  <c:v>7.6426286990768116E-2</c:v>
                </c:pt>
                <c:pt idx="62">
                  <c:v>7.3281625402501355E-2</c:v>
                </c:pt>
                <c:pt idx="63">
                  <c:v>7.0266355112622761E-2</c:v>
                </c:pt>
                <c:pt idx="64">
                  <c:v>6.7375152143455019E-2</c:v>
                </c:pt>
                <c:pt idx="65">
                  <c:v>6.4602911579488526E-2</c:v>
                </c:pt>
                <c:pt idx="66">
                  <c:v>6.1944738553776177E-2</c:v>
                </c:pt>
                <c:pt idx="67">
                  <c:v>5.9395939605204784E-2</c:v>
                </c:pt>
                <c:pt idx="68">
                  <c:v>5.6952014391383234E-2</c:v>
                </c:pt>
                <c:pt idx="69">
                  <c:v>5.4608647742515011E-2</c:v>
                </c:pt>
                <c:pt idx="70">
                  <c:v>5.2361702042224491E-2</c:v>
                </c:pt>
                <c:pt idx="71">
                  <c:v>5.0207209921884495E-2</c:v>
                </c:pt>
                <c:pt idx="72">
                  <c:v>4.814136725554554E-2</c:v>
                </c:pt>
                <c:pt idx="73">
                  <c:v>4.6160526443097816E-2</c:v>
                </c:pt>
              </c:numCache>
            </c:numRef>
          </c:val>
          <c:smooth val="0"/>
        </c:ser>
        <c:ser>
          <c:idx val="2"/>
          <c:order val="2"/>
          <c:tx>
            <c:v>2015</c:v>
          </c:tx>
          <c:marker>
            <c:symbol val="none"/>
          </c:marker>
          <c:cat>
            <c:numRef>
              <c:f>'Inciner 2 - Total - Exponencial'!$AJ$6:$AJ$79</c:f>
              <c:numCache>
                <c:formatCode>General</c:formatCode>
                <c:ptCount val="74"/>
                <c:pt idx="0">
                  <c:v>1</c:v>
                </c:pt>
                <c:pt idx="1">
                  <c:v>6</c:v>
                </c:pt>
                <c:pt idx="2">
                  <c:v>11</c:v>
                </c:pt>
                <c:pt idx="3">
                  <c:v>16</c:v>
                </c:pt>
                <c:pt idx="4">
                  <c:v>21</c:v>
                </c:pt>
                <c:pt idx="5">
                  <c:v>26</c:v>
                </c:pt>
                <c:pt idx="6">
                  <c:v>31</c:v>
                </c:pt>
                <c:pt idx="7">
                  <c:v>36</c:v>
                </c:pt>
                <c:pt idx="8">
                  <c:v>41</c:v>
                </c:pt>
                <c:pt idx="9">
                  <c:v>46</c:v>
                </c:pt>
                <c:pt idx="10">
                  <c:v>51</c:v>
                </c:pt>
                <c:pt idx="11">
                  <c:v>56</c:v>
                </c:pt>
                <c:pt idx="12">
                  <c:v>61</c:v>
                </c:pt>
                <c:pt idx="13">
                  <c:v>66</c:v>
                </c:pt>
                <c:pt idx="14">
                  <c:v>71</c:v>
                </c:pt>
                <c:pt idx="15">
                  <c:v>76</c:v>
                </c:pt>
                <c:pt idx="16">
                  <c:v>81</c:v>
                </c:pt>
                <c:pt idx="17">
                  <c:v>86</c:v>
                </c:pt>
                <c:pt idx="18">
                  <c:v>91</c:v>
                </c:pt>
                <c:pt idx="19">
                  <c:v>96</c:v>
                </c:pt>
                <c:pt idx="20">
                  <c:v>101</c:v>
                </c:pt>
                <c:pt idx="21">
                  <c:v>106</c:v>
                </c:pt>
                <c:pt idx="22">
                  <c:v>111</c:v>
                </c:pt>
                <c:pt idx="23">
                  <c:v>116</c:v>
                </c:pt>
                <c:pt idx="24">
                  <c:v>121</c:v>
                </c:pt>
                <c:pt idx="25">
                  <c:v>126</c:v>
                </c:pt>
                <c:pt idx="26">
                  <c:v>131</c:v>
                </c:pt>
                <c:pt idx="27">
                  <c:v>136</c:v>
                </c:pt>
                <c:pt idx="28">
                  <c:v>141</c:v>
                </c:pt>
                <c:pt idx="29">
                  <c:v>146</c:v>
                </c:pt>
                <c:pt idx="30">
                  <c:v>151</c:v>
                </c:pt>
                <c:pt idx="31">
                  <c:v>156</c:v>
                </c:pt>
                <c:pt idx="32">
                  <c:v>161</c:v>
                </c:pt>
                <c:pt idx="33">
                  <c:v>166</c:v>
                </c:pt>
                <c:pt idx="34">
                  <c:v>171</c:v>
                </c:pt>
                <c:pt idx="35">
                  <c:v>176</c:v>
                </c:pt>
                <c:pt idx="36">
                  <c:v>181</c:v>
                </c:pt>
                <c:pt idx="37">
                  <c:v>186</c:v>
                </c:pt>
                <c:pt idx="38">
                  <c:v>191</c:v>
                </c:pt>
                <c:pt idx="39">
                  <c:v>196</c:v>
                </c:pt>
                <c:pt idx="40">
                  <c:v>201</c:v>
                </c:pt>
                <c:pt idx="41">
                  <c:v>206</c:v>
                </c:pt>
                <c:pt idx="42">
                  <c:v>211</c:v>
                </c:pt>
                <c:pt idx="43">
                  <c:v>216</c:v>
                </c:pt>
                <c:pt idx="44">
                  <c:v>221</c:v>
                </c:pt>
                <c:pt idx="45">
                  <c:v>226</c:v>
                </c:pt>
                <c:pt idx="46">
                  <c:v>231</c:v>
                </c:pt>
                <c:pt idx="47">
                  <c:v>236</c:v>
                </c:pt>
                <c:pt idx="48">
                  <c:v>241</c:v>
                </c:pt>
                <c:pt idx="49">
                  <c:v>246</c:v>
                </c:pt>
                <c:pt idx="50">
                  <c:v>251</c:v>
                </c:pt>
                <c:pt idx="51">
                  <c:v>256</c:v>
                </c:pt>
                <c:pt idx="52">
                  <c:v>261</c:v>
                </c:pt>
                <c:pt idx="53">
                  <c:v>266</c:v>
                </c:pt>
                <c:pt idx="54">
                  <c:v>271</c:v>
                </c:pt>
                <c:pt idx="55">
                  <c:v>276</c:v>
                </c:pt>
                <c:pt idx="56">
                  <c:v>281</c:v>
                </c:pt>
                <c:pt idx="57">
                  <c:v>286</c:v>
                </c:pt>
                <c:pt idx="58">
                  <c:v>291</c:v>
                </c:pt>
                <c:pt idx="59">
                  <c:v>296</c:v>
                </c:pt>
                <c:pt idx="60">
                  <c:v>301</c:v>
                </c:pt>
                <c:pt idx="61">
                  <c:v>306</c:v>
                </c:pt>
                <c:pt idx="62">
                  <c:v>311</c:v>
                </c:pt>
                <c:pt idx="63">
                  <c:v>316</c:v>
                </c:pt>
                <c:pt idx="64">
                  <c:v>321</c:v>
                </c:pt>
                <c:pt idx="65">
                  <c:v>326</c:v>
                </c:pt>
                <c:pt idx="66">
                  <c:v>331</c:v>
                </c:pt>
                <c:pt idx="67">
                  <c:v>336</c:v>
                </c:pt>
                <c:pt idx="68">
                  <c:v>341</c:v>
                </c:pt>
                <c:pt idx="69">
                  <c:v>346</c:v>
                </c:pt>
                <c:pt idx="70">
                  <c:v>351</c:v>
                </c:pt>
                <c:pt idx="71">
                  <c:v>356</c:v>
                </c:pt>
                <c:pt idx="72">
                  <c:v>361</c:v>
                </c:pt>
                <c:pt idx="73">
                  <c:v>366</c:v>
                </c:pt>
              </c:numCache>
            </c:numRef>
          </c:cat>
          <c:val>
            <c:numRef>
              <c:f>'Inciner 2 - Total - Exponencial'!$AS$6:$AS$79</c:f>
              <c:numCache>
                <c:formatCode>General</c:formatCode>
                <c:ptCount val="74"/>
                <c:pt idx="0">
                  <c:v>0.99721836062779279</c:v>
                </c:pt>
                <c:pt idx="1">
                  <c:v>0.98342579696807908</c:v>
                </c:pt>
                <c:pt idx="2">
                  <c:v>0.96982399876136749</c:v>
                </c:pt>
                <c:pt idx="3">
                  <c:v>0.95641032752369259</c:v>
                </c:pt>
                <c:pt idx="4">
                  <c:v>0.94318218126405728</c:v>
                </c:pt>
                <c:pt idx="5">
                  <c:v>0.93013699397969707</c:v>
                </c:pt>
                <c:pt idx="6">
                  <c:v>0.9172722351583259</c:v>
                </c:pt>
                <c:pt idx="7">
                  <c:v>0.9045854092872655</c:v>
                </c:pt>
                <c:pt idx="8">
                  <c:v>0.89207405536936502</c:v>
                </c:pt>
                <c:pt idx="9">
                  <c:v>0.87973574644561525</c:v>
                </c:pt>
                <c:pt idx="10">
                  <c:v>0.867568089124366</c:v>
                </c:pt>
                <c:pt idx="11">
                  <c:v>0.85556872311705456</c:v>
                </c:pt>
                <c:pt idx="12">
                  <c:v>0.84373532078035562</c:v>
                </c:pt>
                <c:pt idx="13">
                  <c:v>0.83206558666466413</c:v>
                </c:pt>
                <c:pt idx="14">
                  <c:v>0.82055725706882254</c:v>
                </c:pt>
                <c:pt idx="15">
                  <c:v>0.80920809960100692</c:v>
                </c:pt>
                <c:pt idx="16">
                  <c:v>0.79801591274568617</c:v>
                </c:pt>
                <c:pt idx="17">
                  <c:v>0.78697852543657143</c:v>
                </c:pt>
                <c:pt idx="18">
                  <c:v>0.77609379663547085</c:v>
                </c:pt>
                <c:pt idx="19">
                  <c:v>0.76535961491697058</c:v>
                </c:pt>
                <c:pt idx="20">
                  <c:v>0.75477389805885875</c:v>
                </c:pt>
                <c:pt idx="21">
                  <c:v>0.74433459263821511</c:v>
                </c:pt>
                <c:pt idx="22">
                  <c:v>0.73403967363308709</c:v>
                </c:pt>
                <c:pt idx="23">
                  <c:v>0.7238871440296748</c:v>
                </c:pt>
                <c:pt idx="24">
                  <c:v>0.7138750344349496</c:v>
                </c:pt>
                <c:pt idx="25">
                  <c:v>0.70400140269462974</c:v>
                </c:pt>
                <c:pt idx="26">
                  <c:v>0.69426433351644024</c:v>
                </c:pt>
                <c:pt idx="27">
                  <c:v>0.68466193809858422</c:v>
                </c:pt>
                <c:pt idx="28">
                  <c:v>0.67519235376335118</c:v>
                </c:pt>
                <c:pt idx="29">
                  <c:v>0.66585374359579441</c:v>
                </c:pt>
                <c:pt idx="30">
                  <c:v>0.65664429608740515</c:v>
                </c:pt>
                <c:pt idx="31">
                  <c:v>0.64756222478471492</c:v>
                </c:pt>
                <c:pt idx="32">
                  <c:v>0.63860576794275881</c:v>
                </c:pt>
                <c:pt idx="33">
                  <c:v>0.62977318818333095</c:v>
                </c:pt>
                <c:pt idx="34">
                  <c:v>0.62106277215796701</c:v>
                </c:pt>
                <c:pt idx="35">
                  <c:v>0.61247283021558807</c:v>
                </c:pt>
                <c:pt idx="36">
                  <c:v>0.60400169607474108</c:v>
                </c:pt>
                <c:pt idx="37">
                  <c:v>0.5956477265003729</c:v>
                </c:pt>
                <c:pt idx="38">
                  <c:v>0.58740930098507438</c:v>
                </c:pt>
                <c:pt idx="39">
                  <c:v>0.57928482143473381</c:v>
                </c:pt>
                <c:pt idx="40">
                  <c:v>0.57127271185853779</c:v>
                </c:pt>
                <c:pt idx="41">
                  <c:v>0.56337141806325919</c:v>
                </c:pt>
                <c:pt idx="42">
                  <c:v>0.5555794073517748</c:v>
                </c:pt>
                <c:pt idx="43">
                  <c:v>0.54789516822575102</c:v>
                </c:pt>
                <c:pt idx="44">
                  <c:v>0.54031721009244316</c:v>
                </c:pt>
                <c:pt idx="45">
                  <c:v>0.53284406297554965</c:v>
                </c:pt>
                <c:pt idx="46">
                  <c:v>0.52547427723006446</c:v>
                </c:pt>
                <c:pt idx="47">
                  <c:v>0.51820642326107513</c:v>
                </c:pt>
                <c:pt idx="48">
                  <c:v>0.51103909124644864</c:v>
                </c:pt>
                <c:pt idx="49">
                  <c:v>0.50397089086335345</c:v>
                </c:pt>
                <c:pt idx="50">
                  <c:v>0.4970004510185641</c:v>
                </c:pt>
                <c:pt idx="51">
                  <c:v>0.49012641958249575</c:v>
                </c:pt>
                <c:pt idx="52">
                  <c:v>0.48334746312691729</c:v>
                </c:pt>
                <c:pt idx="53">
                  <c:v>0.47666226666629236</c:v>
                </c:pt>
                <c:pt idx="54">
                  <c:v>0.47006953340269758</c:v>
                </c:pt>
                <c:pt idx="55">
                  <c:v>0.46356798447426928</c:v>
                </c:pt>
                <c:pt idx="56">
                  <c:v>0.45715635870712901</c:v>
                </c:pt>
                <c:pt idx="57">
                  <c:v>0.45083341237074037</c:v>
                </c:pt>
                <c:pt idx="58">
                  <c:v>0.44459791893664952</c:v>
                </c:pt>
                <c:pt idx="59">
                  <c:v>0.43844866884056272</c:v>
                </c:pt>
                <c:pt idx="60">
                  <c:v>0.43238446924771412</c:v>
                </c:pt>
                <c:pt idx="61">
                  <c:v>0.42640414382147923</c:v>
                </c:pt>
                <c:pt idx="62">
                  <c:v>0.42050653249518855</c:v>
                </c:pt>
                <c:pt idx="63">
                  <c:v>0.41469049124709711</c:v>
                </c:pt>
                <c:pt idx="64">
                  <c:v>0.40895489187846656</c:v>
                </c:pt>
                <c:pt idx="65">
                  <c:v>0.40329862179471665</c:v>
                </c:pt>
                <c:pt idx="66">
                  <c:v>0.39772058378960357</c:v>
                </c:pt>
                <c:pt idx="67">
                  <c:v>0.39221969583238303</c:v>
                </c:pt>
                <c:pt idx="68">
                  <c:v>0.38679489085791779</c:v>
                </c:pt>
                <c:pt idx="69">
                  <c:v>0.38144511655968755</c:v>
                </c:pt>
                <c:pt idx="70">
                  <c:v>0.37616933518566198</c:v>
                </c:pt>
                <c:pt idx="71">
                  <c:v>0.37096652333699709</c:v>
                </c:pt>
                <c:pt idx="72">
                  <c:v>0.36583567176951587</c:v>
                </c:pt>
                <c:pt idx="73">
                  <c:v>0.36077578519793424</c:v>
                </c:pt>
              </c:numCache>
            </c:numRef>
          </c:val>
          <c:smooth val="0"/>
        </c:ser>
        <c:dLbls>
          <c:showLegendKey val="0"/>
          <c:showVal val="0"/>
          <c:showCatName val="0"/>
          <c:showSerName val="0"/>
          <c:showPercent val="0"/>
          <c:showBubbleSize val="0"/>
        </c:dLbls>
        <c:marker val="1"/>
        <c:smooth val="0"/>
        <c:axId val="3331584"/>
        <c:axId val="3333120"/>
      </c:lineChart>
      <c:catAx>
        <c:axId val="3331584"/>
        <c:scaling>
          <c:orientation val="minMax"/>
        </c:scaling>
        <c:delete val="0"/>
        <c:axPos val="b"/>
        <c:numFmt formatCode="General" sourceLinked="1"/>
        <c:majorTickMark val="out"/>
        <c:minorTickMark val="none"/>
        <c:tickLblPos val="nextTo"/>
        <c:crossAx val="3333120"/>
        <c:crosses val="autoZero"/>
        <c:auto val="1"/>
        <c:lblAlgn val="ctr"/>
        <c:lblOffset val="100"/>
        <c:noMultiLvlLbl val="0"/>
      </c:catAx>
      <c:valAx>
        <c:axId val="3333120"/>
        <c:scaling>
          <c:orientation val="minMax"/>
          <c:max val="1"/>
        </c:scaling>
        <c:delete val="0"/>
        <c:axPos val="l"/>
        <c:majorGridlines/>
        <c:numFmt formatCode="General" sourceLinked="1"/>
        <c:majorTickMark val="out"/>
        <c:minorTickMark val="none"/>
        <c:tickLblPos val="nextTo"/>
        <c:crossAx val="3331584"/>
        <c:crosses val="autoZero"/>
        <c:crossBetween val="between"/>
      </c:valAx>
    </c:plotArea>
    <c:legend>
      <c:legendPos val="r"/>
      <c:layout/>
      <c:overlay val="0"/>
    </c:legend>
    <c:plotVisOnly val="1"/>
    <c:dispBlanksAs val="gap"/>
    <c:showDLblsOverMax val="0"/>
  </c:chart>
  <c:printSettings>
    <c:headerFooter/>
    <c:pageMargins b="0.75" l="0.7" r="0.7" t="0.75" header="0.3" footer="0.3"/>
    <c:pageSetup/>
  </c:printSettings>
</c:chartSpace>
</file>

<file path=xl/charts/chart122.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pt-PT"/>
              <a:t>Forno</a:t>
            </a:r>
            <a:r>
              <a:rPr lang="pt-PT" baseline="0"/>
              <a:t> 2 - Chaminé Principal</a:t>
            </a:r>
            <a:endParaRPr lang="pt-PT"/>
          </a:p>
        </c:rich>
      </c:tx>
      <c:layout/>
      <c:overlay val="0"/>
    </c:title>
    <c:autoTitleDeleted val="0"/>
    <c:plotArea>
      <c:layout/>
      <c:lineChart>
        <c:grouping val="standard"/>
        <c:varyColors val="0"/>
        <c:ser>
          <c:idx val="0"/>
          <c:order val="0"/>
          <c:tx>
            <c:v>2010</c:v>
          </c:tx>
          <c:marker>
            <c:symbol val="none"/>
          </c:marker>
          <c:cat>
            <c:numRef>
              <c:f>'Inciner 2 - Total - Exponencial'!$AJ$6:$AJ$79</c:f>
              <c:numCache>
                <c:formatCode>General</c:formatCode>
                <c:ptCount val="74"/>
                <c:pt idx="0">
                  <c:v>1</c:v>
                </c:pt>
                <c:pt idx="1">
                  <c:v>6</c:v>
                </c:pt>
                <c:pt idx="2">
                  <c:v>11</c:v>
                </c:pt>
                <c:pt idx="3">
                  <c:v>16</c:v>
                </c:pt>
                <c:pt idx="4">
                  <c:v>21</c:v>
                </c:pt>
                <c:pt idx="5">
                  <c:v>26</c:v>
                </c:pt>
                <c:pt idx="6">
                  <c:v>31</c:v>
                </c:pt>
                <c:pt idx="7">
                  <c:v>36</c:v>
                </c:pt>
                <c:pt idx="8">
                  <c:v>41</c:v>
                </c:pt>
                <c:pt idx="9">
                  <c:v>46</c:v>
                </c:pt>
                <c:pt idx="10">
                  <c:v>51</c:v>
                </c:pt>
                <c:pt idx="11">
                  <c:v>56</c:v>
                </c:pt>
                <c:pt idx="12">
                  <c:v>61</c:v>
                </c:pt>
                <c:pt idx="13">
                  <c:v>66</c:v>
                </c:pt>
                <c:pt idx="14">
                  <c:v>71</c:v>
                </c:pt>
                <c:pt idx="15">
                  <c:v>76</c:v>
                </c:pt>
                <c:pt idx="16">
                  <c:v>81</c:v>
                </c:pt>
                <c:pt idx="17">
                  <c:v>86</c:v>
                </c:pt>
                <c:pt idx="18">
                  <c:v>91</c:v>
                </c:pt>
                <c:pt idx="19">
                  <c:v>96</c:v>
                </c:pt>
                <c:pt idx="20">
                  <c:v>101</c:v>
                </c:pt>
                <c:pt idx="21">
                  <c:v>106</c:v>
                </c:pt>
                <c:pt idx="22">
                  <c:v>111</c:v>
                </c:pt>
                <c:pt idx="23">
                  <c:v>116</c:v>
                </c:pt>
                <c:pt idx="24">
                  <c:v>121</c:v>
                </c:pt>
                <c:pt idx="25">
                  <c:v>126</c:v>
                </c:pt>
                <c:pt idx="26">
                  <c:v>131</c:v>
                </c:pt>
                <c:pt idx="27">
                  <c:v>136</c:v>
                </c:pt>
                <c:pt idx="28">
                  <c:v>141</c:v>
                </c:pt>
                <c:pt idx="29">
                  <c:v>146</c:v>
                </c:pt>
                <c:pt idx="30">
                  <c:v>151</c:v>
                </c:pt>
                <c:pt idx="31">
                  <c:v>156</c:v>
                </c:pt>
                <c:pt idx="32">
                  <c:v>161</c:v>
                </c:pt>
                <c:pt idx="33">
                  <c:v>166</c:v>
                </c:pt>
                <c:pt idx="34">
                  <c:v>171</c:v>
                </c:pt>
                <c:pt idx="35">
                  <c:v>176</c:v>
                </c:pt>
                <c:pt idx="36">
                  <c:v>181</c:v>
                </c:pt>
                <c:pt idx="37">
                  <c:v>186</c:v>
                </c:pt>
                <c:pt idx="38">
                  <c:v>191</c:v>
                </c:pt>
                <c:pt idx="39">
                  <c:v>196</c:v>
                </c:pt>
                <c:pt idx="40">
                  <c:v>201</c:v>
                </c:pt>
                <c:pt idx="41">
                  <c:v>206</c:v>
                </c:pt>
                <c:pt idx="42">
                  <c:v>211</c:v>
                </c:pt>
                <c:pt idx="43">
                  <c:v>216</c:v>
                </c:pt>
                <c:pt idx="44">
                  <c:v>221</c:v>
                </c:pt>
                <c:pt idx="45">
                  <c:v>226</c:v>
                </c:pt>
                <c:pt idx="46">
                  <c:v>231</c:v>
                </c:pt>
                <c:pt idx="47">
                  <c:v>236</c:v>
                </c:pt>
                <c:pt idx="48">
                  <c:v>241</c:v>
                </c:pt>
                <c:pt idx="49">
                  <c:v>246</c:v>
                </c:pt>
                <c:pt idx="50">
                  <c:v>251</c:v>
                </c:pt>
                <c:pt idx="51">
                  <c:v>256</c:v>
                </c:pt>
                <c:pt idx="52">
                  <c:v>261</c:v>
                </c:pt>
                <c:pt idx="53">
                  <c:v>266</c:v>
                </c:pt>
                <c:pt idx="54">
                  <c:v>271</c:v>
                </c:pt>
                <c:pt idx="55">
                  <c:v>276</c:v>
                </c:pt>
                <c:pt idx="56">
                  <c:v>281</c:v>
                </c:pt>
                <c:pt idx="57">
                  <c:v>286</c:v>
                </c:pt>
                <c:pt idx="58">
                  <c:v>291</c:v>
                </c:pt>
                <c:pt idx="59">
                  <c:v>296</c:v>
                </c:pt>
                <c:pt idx="60">
                  <c:v>301</c:v>
                </c:pt>
                <c:pt idx="61">
                  <c:v>306</c:v>
                </c:pt>
                <c:pt idx="62">
                  <c:v>311</c:v>
                </c:pt>
                <c:pt idx="63">
                  <c:v>316</c:v>
                </c:pt>
                <c:pt idx="64">
                  <c:v>321</c:v>
                </c:pt>
                <c:pt idx="65">
                  <c:v>326</c:v>
                </c:pt>
                <c:pt idx="66">
                  <c:v>331</c:v>
                </c:pt>
                <c:pt idx="67">
                  <c:v>336</c:v>
                </c:pt>
                <c:pt idx="68">
                  <c:v>341</c:v>
                </c:pt>
                <c:pt idx="69">
                  <c:v>346</c:v>
                </c:pt>
                <c:pt idx="70">
                  <c:v>351</c:v>
                </c:pt>
                <c:pt idx="71">
                  <c:v>356</c:v>
                </c:pt>
                <c:pt idx="72">
                  <c:v>361</c:v>
                </c:pt>
                <c:pt idx="73">
                  <c:v>366</c:v>
                </c:pt>
              </c:numCache>
            </c:numRef>
          </c:cat>
          <c:val>
            <c:numRef>
              <c:f>'Inciner 2 - Total - Exponencial'!$AT$6:$AT$79</c:f>
              <c:numCache>
                <c:formatCode>General</c:formatCode>
                <c:ptCount val="74"/>
                <c:pt idx="0">
                  <c:v>0.99442898380825406</c:v>
                </c:pt>
                <c:pt idx="1">
                  <c:v>0.96703600252135291</c:v>
                </c:pt>
                <c:pt idx="2">
                  <c:v>0.94039760043115894</c:v>
                </c:pt>
                <c:pt idx="3">
                  <c:v>0.91449299156486641</c:v>
                </c:pt>
                <c:pt idx="4">
                  <c:v>0.88930196252928373</c:v>
                </c:pt>
                <c:pt idx="5">
                  <c:v>0.8648048567383021</c:v>
                </c:pt>
                <c:pt idx="6">
                  <c:v>0.84098255907484076</c:v>
                </c:pt>
                <c:pt idx="7">
                  <c:v>0.81781648097530157</c:v>
                </c:pt>
                <c:pt idx="8">
                  <c:v>0.79528854592489329</c:v>
                </c:pt>
                <c:pt idx="9">
                  <c:v>0.77338117535250839</c:v>
                </c:pt>
                <c:pt idx="10">
                  <c:v>0.752077274914146</c:v>
                </c:pt>
                <c:pt idx="11">
                  <c:v>0.73136022115417709</c:v>
                </c:pt>
                <c:pt idx="12">
                  <c:v>0.71121384853404512</c:v>
                </c:pt>
                <c:pt idx="13">
                  <c:v>0.69162243681827928</c:v>
                </c:pt>
                <c:pt idx="14">
                  <c:v>0.67257069880797882</c:v>
                </c:pt>
                <c:pt idx="15">
                  <c:v>0.65404376841219558</c:v>
                </c:pt>
                <c:pt idx="16">
                  <c:v>0.63602718904790756</c:v>
                </c:pt>
                <c:pt idx="17">
                  <c:v>0.61850690235953287</c:v>
                </c:pt>
                <c:pt idx="18">
                  <c:v>0.60146923724917967</c:v>
                </c:pt>
                <c:pt idx="19">
                  <c:v>0.5849008992090744</c:v>
                </c:pt>
                <c:pt idx="20">
                  <c:v>0.56878895994784373</c:v>
                </c:pt>
                <c:pt idx="21">
                  <c:v>0.5531208473025554</c:v>
                </c:pt>
                <c:pt idx="22">
                  <c:v>0.53788433542864633</c:v>
                </c:pt>
                <c:pt idx="23">
                  <c:v>0.52306753526008321</c:v>
                </c:pt>
                <c:pt idx="24">
                  <c:v>0.50865888523231229</c:v>
                </c:pt>
                <c:pt idx="25">
                  <c:v>0.4946471422607584</c:v>
                </c:pt>
                <c:pt idx="26">
                  <c:v>0.48102137296783437</c:v>
                </c:pt>
                <c:pt idx="27">
                  <c:v>0.46777094515161527</c:v>
                </c:pt>
                <c:pt idx="28">
                  <c:v>0.45488551948951989</c:v>
                </c:pt>
                <c:pt idx="29">
                  <c:v>0.44235504147052696</c:v>
                </c:pt>
                <c:pt idx="30">
                  <c:v>0.43016973354962967</c:v>
                </c:pt>
                <c:pt idx="31">
                  <c:v>0.41832008751840699</c:v>
                </c:pt>
                <c:pt idx="32">
                  <c:v>0.40679685708575891</c:v>
                </c:pt>
                <c:pt idx="33">
                  <c:v>0.39559105066301581</c:v>
                </c:pt>
                <c:pt idx="34">
                  <c:v>0.38469392434779259</c:v>
                </c:pt>
                <c:pt idx="35">
                  <c:v>0.37409697510111256</c:v>
                </c:pt>
                <c:pt idx="36">
                  <c:v>0.36379193411247712</c:v>
                </c:pt>
                <c:pt idx="37">
                  <c:v>0.35377076034770455</c:v>
                </c:pt>
                <c:pt idx="38">
                  <c:v>0.34402563427450272</c:v>
                </c:pt>
                <c:pt idx="39">
                  <c:v>0.33454895176087951</c:v>
                </c:pt>
                <c:pt idx="40">
                  <c:v>0.32533331814163124</c:v>
                </c:pt>
                <c:pt idx="41">
                  <c:v>0.31637154244827759</c:v>
                </c:pt>
                <c:pt idx="42">
                  <c:v>0.30765663179794123</c:v>
                </c:pt>
                <c:pt idx="43">
                  <c:v>0.29918178593679412</c:v>
                </c:pt>
                <c:pt idx="44">
                  <c:v>0.29094039193381266</c:v>
                </c:pt>
                <c:pt idx="45">
                  <c:v>0.28292601902070036</c:v>
                </c:pt>
                <c:pt idx="46">
                  <c:v>0.27513241357395296</c:v>
                </c:pt>
                <c:pt idx="47">
                  <c:v>0.26755349423514935</c:v>
                </c:pt>
                <c:pt idx="48">
                  <c:v>0.26018334716566116</c:v>
                </c:pt>
                <c:pt idx="49">
                  <c:v>0.2530162214320788</c:v>
                </c:pt>
                <c:pt idx="50">
                  <c:v>0.24604652451875172</c:v>
                </c:pt>
                <c:pt idx="51">
                  <c:v>0.23926881796394273</c:v>
                </c:pt>
                <c:pt idx="52">
                  <c:v>0.23267781311619076</c:v>
                </c:pt>
                <c:pt idx="53">
                  <c:v>0.22626836700757058</c:v>
                </c:pt>
                <c:pt idx="54">
                  <c:v>0.22003547834062961</c:v>
                </c:pt>
                <c:pt idx="55">
                  <c:v>0.21397428358587031</c:v>
                </c:pt>
                <c:pt idx="56">
                  <c:v>0.20808005318673303</c:v>
                </c:pt>
                <c:pt idx="57">
                  <c:v>0.2023481878691181</c:v>
                </c:pt>
                <c:pt idx="58">
                  <c:v>0.19677421505256759</c:v>
                </c:pt>
                <c:pt idx="59">
                  <c:v>0.19135378536030612</c:v>
                </c:pt>
                <c:pt idx="60">
                  <c:v>0.1860826692254175</c:v>
                </c:pt>
                <c:pt idx="61">
                  <c:v>0.18095675359050942</c:v>
                </c:pt>
                <c:pt idx="62">
                  <c:v>0.1759720386982904</c:v>
                </c:pt>
                <c:pt idx="63">
                  <c:v>0.17112463497055513</c:v>
                </c:pt>
                <c:pt idx="64">
                  <c:v>0.16641075997314245</c:v>
                </c:pt>
                <c:pt idx="65">
                  <c:v>0.16182673546449816</c:v>
                </c:pt>
                <c:pt idx="66">
                  <c:v>0.15736898452553913</c:v>
                </c:pt>
                <c:pt idx="67">
                  <c:v>0.15303402876857986</c:v>
                </c:pt>
                <c:pt idx="68">
                  <c:v>0.14881848562314282</c:v>
                </c:pt>
                <c:pt idx="69">
                  <c:v>0.14471906569653517</c:v>
                </c:pt>
                <c:pt idx="70">
                  <c:v>0.14073257020713237</c:v>
                </c:pt>
                <c:pt idx="71">
                  <c:v>0.13685588848836538</c:v>
                </c:pt>
                <c:pt idx="72">
                  <c:v>0.13308599556146444</c:v>
                </c:pt>
                <c:pt idx="73">
                  <c:v>0.12941994977506494</c:v>
                </c:pt>
              </c:numCache>
            </c:numRef>
          </c:val>
          <c:smooth val="0"/>
        </c:ser>
        <c:ser>
          <c:idx val="1"/>
          <c:order val="1"/>
          <c:tx>
            <c:v>2012</c:v>
          </c:tx>
          <c:marker>
            <c:symbol val="none"/>
          </c:marker>
          <c:cat>
            <c:numRef>
              <c:f>'Inciner 2 - Total - Exponencial'!$AJ$6:$AJ$79</c:f>
              <c:numCache>
                <c:formatCode>General</c:formatCode>
                <c:ptCount val="74"/>
                <c:pt idx="0">
                  <c:v>1</c:v>
                </c:pt>
                <c:pt idx="1">
                  <c:v>6</c:v>
                </c:pt>
                <c:pt idx="2">
                  <c:v>11</c:v>
                </c:pt>
                <c:pt idx="3">
                  <c:v>16</c:v>
                </c:pt>
                <c:pt idx="4">
                  <c:v>21</c:v>
                </c:pt>
                <c:pt idx="5">
                  <c:v>26</c:v>
                </c:pt>
                <c:pt idx="6">
                  <c:v>31</c:v>
                </c:pt>
                <c:pt idx="7">
                  <c:v>36</c:v>
                </c:pt>
                <c:pt idx="8">
                  <c:v>41</c:v>
                </c:pt>
                <c:pt idx="9">
                  <c:v>46</c:v>
                </c:pt>
                <c:pt idx="10">
                  <c:v>51</c:v>
                </c:pt>
                <c:pt idx="11">
                  <c:v>56</c:v>
                </c:pt>
                <c:pt idx="12">
                  <c:v>61</c:v>
                </c:pt>
                <c:pt idx="13">
                  <c:v>66</c:v>
                </c:pt>
                <c:pt idx="14">
                  <c:v>71</c:v>
                </c:pt>
                <c:pt idx="15">
                  <c:v>76</c:v>
                </c:pt>
                <c:pt idx="16">
                  <c:v>81</c:v>
                </c:pt>
                <c:pt idx="17">
                  <c:v>86</c:v>
                </c:pt>
                <c:pt idx="18">
                  <c:v>91</c:v>
                </c:pt>
                <c:pt idx="19">
                  <c:v>96</c:v>
                </c:pt>
                <c:pt idx="20">
                  <c:v>101</c:v>
                </c:pt>
                <c:pt idx="21">
                  <c:v>106</c:v>
                </c:pt>
                <c:pt idx="22">
                  <c:v>111</c:v>
                </c:pt>
                <c:pt idx="23">
                  <c:v>116</c:v>
                </c:pt>
                <c:pt idx="24">
                  <c:v>121</c:v>
                </c:pt>
                <c:pt idx="25">
                  <c:v>126</c:v>
                </c:pt>
                <c:pt idx="26">
                  <c:v>131</c:v>
                </c:pt>
                <c:pt idx="27">
                  <c:v>136</c:v>
                </c:pt>
                <c:pt idx="28">
                  <c:v>141</c:v>
                </c:pt>
                <c:pt idx="29">
                  <c:v>146</c:v>
                </c:pt>
                <c:pt idx="30">
                  <c:v>151</c:v>
                </c:pt>
                <c:pt idx="31">
                  <c:v>156</c:v>
                </c:pt>
                <c:pt idx="32">
                  <c:v>161</c:v>
                </c:pt>
                <c:pt idx="33">
                  <c:v>166</c:v>
                </c:pt>
                <c:pt idx="34">
                  <c:v>171</c:v>
                </c:pt>
                <c:pt idx="35">
                  <c:v>176</c:v>
                </c:pt>
                <c:pt idx="36">
                  <c:v>181</c:v>
                </c:pt>
                <c:pt idx="37">
                  <c:v>186</c:v>
                </c:pt>
                <c:pt idx="38">
                  <c:v>191</c:v>
                </c:pt>
                <c:pt idx="39">
                  <c:v>196</c:v>
                </c:pt>
                <c:pt idx="40">
                  <c:v>201</c:v>
                </c:pt>
                <c:pt idx="41">
                  <c:v>206</c:v>
                </c:pt>
                <c:pt idx="42">
                  <c:v>211</c:v>
                </c:pt>
                <c:pt idx="43">
                  <c:v>216</c:v>
                </c:pt>
                <c:pt idx="44">
                  <c:v>221</c:v>
                </c:pt>
                <c:pt idx="45">
                  <c:v>226</c:v>
                </c:pt>
                <c:pt idx="46">
                  <c:v>231</c:v>
                </c:pt>
                <c:pt idx="47">
                  <c:v>236</c:v>
                </c:pt>
                <c:pt idx="48">
                  <c:v>241</c:v>
                </c:pt>
                <c:pt idx="49">
                  <c:v>246</c:v>
                </c:pt>
                <c:pt idx="50">
                  <c:v>251</c:v>
                </c:pt>
                <c:pt idx="51">
                  <c:v>256</c:v>
                </c:pt>
                <c:pt idx="52">
                  <c:v>261</c:v>
                </c:pt>
                <c:pt idx="53">
                  <c:v>266</c:v>
                </c:pt>
                <c:pt idx="54">
                  <c:v>271</c:v>
                </c:pt>
                <c:pt idx="55">
                  <c:v>276</c:v>
                </c:pt>
                <c:pt idx="56">
                  <c:v>281</c:v>
                </c:pt>
                <c:pt idx="57">
                  <c:v>286</c:v>
                </c:pt>
                <c:pt idx="58">
                  <c:v>291</c:v>
                </c:pt>
                <c:pt idx="59">
                  <c:v>296</c:v>
                </c:pt>
                <c:pt idx="60">
                  <c:v>301</c:v>
                </c:pt>
                <c:pt idx="61">
                  <c:v>306</c:v>
                </c:pt>
                <c:pt idx="62">
                  <c:v>311</c:v>
                </c:pt>
                <c:pt idx="63">
                  <c:v>316</c:v>
                </c:pt>
                <c:pt idx="64">
                  <c:v>321</c:v>
                </c:pt>
                <c:pt idx="65">
                  <c:v>326</c:v>
                </c:pt>
                <c:pt idx="66">
                  <c:v>331</c:v>
                </c:pt>
                <c:pt idx="67">
                  <c:v>336</c:v>
                </c:pt>
                <c:pt idx="68">
                  <c:v>341</c:v>
                </c:pt>
                <c:pt idx="69">
                  <c:v>346</c:v>
                </c:pt>
                <c:pt idx="70">
                  <c:v>351</c:v>
                </c:pt>
                <c:pt idx="71">
                  <c:v>356</c:v>
                </c:pt>
                <c:pt idx="72">
                  <c:v>361</c:v>
                </c:pt>
                <c:pt idx="73">
                  <c:v>366</c:v>
                </c:pt>
              </c:numCache>
            </c:numRef>
          </c:cat>
          <c:val>
            <c:numRef>
              <c:f>'Inciner 2 - Total - Exponencial'!$AU$6:$AU$79</c:f>
              <c:numCache>
                <c:formatCode>General</c:formatCode>
                <c:ptCount val="74"/>
                <c:pt idx="0">
                  <c:v>0.99163184820119987</c:v>
                </c:pt>
                <c:pt idx="1">
                  <c:v>0.95082983222576778</c:v>
                </c:pt>
                <c:pt idx="2">
                  <c:v>0.91170666965815983</c:v>
                </c:pt>
                <c:pt idx="3">
                  <c:v>0.87419328183406031</c:v>
                </c:pt>
                <c:pt idx="4">
                  <c:v>0.8382234324229999</c:v>
                </c:pt>
                <c:pt idx="5">
                  <c:v>0.80373361047673531</c:v>
                </c:pt>
                <c:pt idx="6">
                  <c:v>0.77066291828975986</c:v>
                </c:pt>
                <c:pt idx="7">
                  <c:v>0.73895296387394338</c:v>
                </c:pt>
                <c:pt idx="8">
                  <c:v>0.70854775785744606</c:v>
                </c:pt>
                <c:pt idx="9">
                  <c:v>0.67939361462586423</c:v>
                </c:pt>
                <c:pt idx="10">
                  <c:v>0.65143905753105558</c:v>
                </c:pt>
                <c:pt idx="11">
                  <c:v>0.62463472800027442</c:v>
                </c:pt>
                <c:pt idx="12">
                  <c:v>0.59893329838513198</c:v>
                </c:pt>
                <c:pt idx="13">
                  <c:v>0.57428938839650279</c:v>
                </c:pt>
                <c:pt idx="14">
                  <c:v>0.55065948497782913</c:v>
                </c:pt>
                <c:pt idx="15">
                  <c:v>0.52800186547534433</c:v>
                </c:pt>
                <c:pt idx="16">
                  <c:v>0.50627652396956024</c:v>
                </c:pt>
                <c:pt idx="17">
                  <c:v>0.48544510063794399</c:v>
                </c:pt>
                <c:pt idx="18">
                  <c:v>0.46547081402406171</c:v>
                </c:pt>
                <c:pt idx="19">
                  <c:v>0.44631839609359841</c:v>
                </c:pt>
                <c:pt idx="20">
                  <c:v>0.42795402996258514</c:v>
                </c:pt>
                <c:pt idx="21">
                  <c:v>0.41034529018788096</c:v>
                </c:pt>
                <c:pt idx="22">
                  <c:v>0.39346108551448272</c:v>
                </c:pt>
                <c:pt idx="23">
                  <c:v>0.37727160397857362</c:v>
                </c:pt>
                <c:pt idx="24">
                  <c:v>0.36174826026937951</c:v>
                </c:pt>
                <c:pt idx="25">
                  <c:v>0.34686364525689234</c:v>
                </c:pt>
                <c:pt idx="26">
                  <c:v>0.33259147759634267</c:v>
                </c:pt>
                <c:pt idx="27">
                  <c:v>0.31890655732397044</c:v>
                </c:pt>
                <c:pt idx="28">
                  <c:v>0.30578472136216034</c:v>
                </c:pt>
                <c:pt idx="29">
                  <c:v>0.29320280085537731</c:v>
                </c:pt>
                <c:pt idx="30">
                  <c:v>0.28113858026157157</c:v>
                </c:pt>
                <c:pt idx="31">
                  <c:v>0.26957075812682357</c:v>
                </c:pt>
                <c:pt idx="32">
                  <c:v>0.25847890947396718</c:v>
                </c:pt>
                <c:pt idx="33">
                  <c:v>0.24784344973878408</c:v>
                </c:pt>
                <c:pt idx="34">
                  <c:v>0.23764560019009123</c:v>
                </c:pt>
                <c:pt idx="35">
                  <c:v>0.22786735477266509</c:v>
                </c:pt>
                <c:pt idx="36">
                  <c:v>0.21849144831445771</c:v>
                </c:pt>
                <c:pt idx="37">
                  <c:v>0.20950132604196997</c:v>
                </c:pt>
                <c:pt idx="38">
                  <c:v>0.20088111434995476</c:v>
                </c:pt>
                <c:pt idx="39">
                  <c:v>0.19261559277384013</c:v>
                </c:pt>
                <c:pt idx="40">
                  <c:v>0.18469016711538452</c:v>
                </c:pt>
                <c:pt idx="41">
                  <c:v>0.17709084367411268</c:v>
                </c:pt>
                <c:pt idx="42">
                  <c:v>0.16980420453903336</c:v>
                </c:pt>
                <c:pt idx="43">
                  <c:v>0.16281738389701275</c:v>
                </c:pt>
                <c:pt idx="44">
                  <c:v>0.15611804531597109</c:v>
                </c:pt>
                <c:pt idx="45">
                  <c:v>0.14969435996279248</c:v>
                </c:pt>
                <c:pt idx="46">
                  <c:v>0.14353498571748824</c:v>
                </c:pt>
                <c:pt idx="47">
                  <c:v>0.13762904714673543</c:v>
                </c:pt>
                <c:pt idx="48">
                  <c:v>0.13196611630143124</c:v>
                </c:pt>
                <c:pt idx="49">
                  <c:v>0.12653619430435736</c:v>
                </c:pt>
                <c:pt idx="50">
                  <c:v>0.12132969369544465</c:v>
                </c:pt>
                <c:pt idx="51">
                  <c:v>0.11633742150346545</c:v>
                </c:pt>
                <c:pt idx="52">
                  <c:v>0.11155056301426348</c:v>
                </c:pt>
                <c:pt idx="53">
                  <c:v>0.10696066620686187</c:v>
                </c:pt>
                <c:pt idx="54">
                  <c:v>0.10255962682996832</c:v>
                </c:pt>
                <c:pt idx="55">
                  <c:v>9.8339674092526932E-2</c:v>
                </c:pt>
                <c:pt idx="56">
                  <c:v>9.4293356943051951E-2</c:v>
                </c:pt>
                <c:pt idx="57">
                  <c:v>9.0413530913516352E-2</c:v>
                </c:pt>
                <c:pt idx="58">
                  <c:v>8.6693345504566074E-2</c:v>
                </c:pt>
                <c:pt idx="59">
                  <c:v>8.3126232089786686E-2</c:v>
                </c:pt>
                <c:pt idx="60">
                  <c:v>7.9705892317665172E-2</c:v>
                </c:pt>
                <c:pt idx="61">
                  <c:v>7.6426286990768116E-2</c:v>
                </c:pt>
                <c:pt idx="62">
                  <c:v>7.3281625402501355E-2</c:v>
                </c:pt>
                <c:pt idx="63">
                  <c:v>7.0266355112622761E-2</c:v>
                </c:pt>
                <c:pt idx="64">
                  <c:v>6.7375152143455019E-2</c:v>
                </c:pt>
                <c:pt idx="65">
                  <c:v>6.4602911579488526E-2</c:v>
                </c:pt>
                <c:pt idx="66">
                  <c:v>6.1944738553776177E-2</c:v>
                </c:pt>
                <c:pt idx="67">
                  <c:v>5.9395939605204784E-2</c:v>
                </c:pt>
                <c:pt idx="68">
                  <c:v>5.6952014391383234E-2</c:v>
                </c:pt>
                <c:pt idx="69">
                  <c:v>5.4608647742515011E-2</c:v>
                </c:pt>
                <c:pt idx="70">
                  <c:v>5.2361702042224491E-2</c:v>
                </c:pt>
                <c:pt idx="71">
                  <c:v>5.0207209921884495E-2</c:v>
                </c:pt>
                <c:pt idx="72">
                  <c:v>4.814136725554554E-2</c:v>
                </c:pt>
                <c:pt idx="73">
                  <c:v>4.6160526443097816E-2</c:v>
                </c:pt>
              </c:numCache>
            </c:numRef>
          </c:val>
          <c:smooth val="0"/>
        </c:ser>
        <c:ser>
          <c:idx val="2"/>
          <c:order val="2"/>
          <c:tx>
            <c:v>2013</c:v>
          </c:tx>
          <c:marker>
            <c:symbol val="none"/>
          </c:marker>
          <c:cat>
            <c:numRef>
              <c:f>'Inciner 2 - Total - Exponencial'!$AJ$6:$AJ$79</c:f>
              <c:numCache>
                <c:formatCode>General</c:formatCode>
                <c:ptCount val="74"/>
                <c:pt idx="0">
                  <c:v>1</c:v>
                </c:pt>
                <c:pt idx="1">
                  <c:v>6</c:v>
                </c:pt>
                <c:pt idx="2">
                  <c:v>11</c:v>
                </c:pt>
                <c:pt idx="3">
                  <c:v>16</c:v>
                </c:pt>
                <c:pt idx="4">
                  <c:v>21</c:v>
                </c:pt>
                <c:pt idx="5">
                  <c:v>26</c:v>
                </c:pt>
                <c:pt idx="6">
                  <c:v>31</c:v>
                </c:pt>
                <c:pt idx="7">
                  <c:v>36</c:v>
                </c:pt>
                <c:pt idx="8">
                  <c:v>41</c:v>
                </c:pt>
                <c:pt idx="9">
                  <c:v>46</c:v>
                </c:pt>
                <c:pt idx="10">
                  <c:v>51</c:v>
                </c:pt>
                <c:pt idx="11">
                  <c:v>56</c:v>
                </c:pt>
                <c:pt idx="12">
                  <c:v>61</c:v>
                </c:pt>
                <c:pt idx="13">
                  <c:v>66</c:v>
                </c:pt>
                <c:pt idx="14">
                  <c:v>71</c:v>
                </c:pt>
                <c:pt idx="15">
                  <c:v>76</c:v>
                </c:pt>
                <c:pt idx="16">
                  <c:v>81</c:v>
                </c:pt>
                <c:pt idx="17">
                  <c:v>86</c:v>
                </c:pt>
                <c:pt idx="18">
                  <c:v>91</c:v>
                </c:pt>
                <c:pt idx="19">
                  <c:v>96</c:v>
                </c:pt>
                <c:pt idx="20">
                  <c:v>101</c:v>
                </c:pt>
                <c:pt idx="21">
                  <c:v>106</c:v>
                </c:pt>
                <c:pt idx="22">
                  <c:v>111</c:v>
                </c:pt>
                <c:pt idx="23">
                  <c:v>116</c:v>
                </c:pt>
                <c:pt idx="24">
                  <c:v>121</c:v>
                </c:pt>
                <c:pt idx="25">
                  <c:v>126</c:v>
                </c:pt>
                <c:pt idx="26">
                  <c:v>131</c:v>
                </c:pt>
                <c:pt idx="27">
                  <c:v>136</c:v>
                </c:pt>
                <c:pt idx="28">
                  <c:v>141</c:v>
                </c:pt>
                <c:pt idx="29">
                  <c:v>146</c:v>
                </c:pt>
                <c:pt idx="30">
                  <c:v>151</c:v>
                </c:pt>
                <c:pt idx="31">
                  <c:v>156</c:v>
                </c:pt>
                <c:pt idx="32">
                  <c:v>161</c:v>
                </c:pt>
                <c:pt idx="33">
                  <c:v>166</c:v>
                </c:pt>
                <c:pt idx="34">
                  <c:v>171</c:v>
                </c:pt>
                <c:pt idx="35">
                  <c:v>176</c:v>
                </c:pt>
                <c:pt idx="36">
                  <c:v>181</c:v>
                </c:pt>
                <c:pt idx="37">
                  <c:v>186</c:v>
                </c:pt>
                <c:pt idx="38">
                  <c:v>191</c:v>
                </c:pt>
                <c:pt idx="39">
                  <c:v>196</c:v>
                </c:pt>
                <c:pt idx="40">
                  <c:v>201</c:v>
                </c:pt>
                <c:pt idx="41">
                  <c:v>206</c:v>
                </c:pt>
                <c:pt idx="42">
                  <c:v>211</c:v>
                </c:pt>
                <c:pt idx="43">
                  <c:v>216</c:v>
                </c:pt>
                <c:pt idx="44">
                  <c:v>221</c:v>
                </c:pt>
                <c:pt idx="45">
                  <c:v>226</c:v>
                </c:pt>
                <c:pt idx="46">
                  <c:v>231</c:v>
                </c:pt>
                <c:pt idx="47">
                  <c:v>236</c:v>
                </c:pt>
                <c:pt idx="48">
                  <c:v>241</c:v>
                </c:pt>
                <c:pt idx="49">
                  <c:v>246</c:v>
                </c:pt>
                <c:pt idx="50">
                  <c:v>251</c:v>
                </c:pt>
                <c:pt idx="51">
                  <c:v>256</c:v>
                </c:pt>
                <c:pt idx="52">
                  <c:v>261</c:v>
                </c:pt>
                <c:pt idx="53">
                  <c:v>266</c:v>
                </c:pt>
                <c:pt idx="54">
                  <c:v>271</c:v>
                </c:pt>
                <c:pt idx="55">
                  <c:v>276</c:v>
                </c:pt>
                <c:pt idx="56">
                  <c:v>281</c:v>
                </c:pt>
                <c:pt idx="57">
                  <c:v>286</c:v>
                </c:pt>
                <c:pt idx="58">
                  <c:v>291</c:v>
                </c:pt>
                <c:pt idx="59">
                  <c:v>296</c:v>
                </c:pt>
                <c:pt idx="60">
                  <c:v>301</c:v>
                </c:pt>
                <c:pt idx="61">
                  <c:v>306</c:v>
                </c:pt>
                <c:pt idx="62">
                  <c:v>311</c:v>
                </c:pt>
                <c:pt idx="63">
                  <c:v>316</c:v>
                </c:pt>
                <c:pt idx="64">
                  <c:v>321</c:v>
                </c:pt>
                <c:pt idx="65">
                  <c:v>326</c:v>
                </c:pt>
                <c:pt idx="66">
                  <c:v>331</c:v>
                </c:pt>
                <c:pt idx="67">
                  <c:v>336</c:v>
                </c:pt>
                <c:pt idx="68">
                  <c:v>341</c:v>
                </c:pt>
                <c:pt idx="69">
                  <c:v>346</c:v>
                </c:pt>
                <c:pt idx="70">
                  <c:v>351</c:v>
                </c:pt>
                <c:pt idx="71">
                  <c:v>356</c:v>
                </c:pt>
                <c:pt idx="72">
                  <c:v>361</c:v>
                </c:pt>
                <c:pt idx="73">
                  <c:v>366</c:v>
                </c:pt>
              </c:numCache>
            </c:numRef>
          </c:cat>
          <c:val>
            <c:numRef>
              <c:f>'Inciner 2 - Total - Exponencial'!$AV$6:$AV$79</c:f>
              <c:numCache>
                <c:formatCode>General</c:formatCode>
                <c:ptCount val="74"/>
                <c:pt idx="0">
                  <c:v>0.99721836062779279</c:v>
                </c:pt>
                <c:pt idx="1">
                  <c:v>0.98342579696807908</c:v>
                </c:pt>
                <c:pt idx="2">
                  <c:v>0.96982399876136749</c:v>
                </c:pt>
                <c:pt idx="3">
                  <c:v>0.95641032752369259</c:v>
                </c:pt>
                <c:pt idx="4">
                  <c:v>0.94318218126405728</c:v>
                </c:pt>
                <c:pt idx="5">
                  <c:v>0.93013699397969707</c:v>
                </c:pt>
                <c:pt idx="6">
                  <c:v>0.9172722351583259</c:v>
                </c:pt>
                <c:pt idx="7">
                  <c:v>0.9045854092872655</c:v>
                </c:pt>
                <c:pt idx="8">
                  <c:v>0.89207405536936502</c:v>
                </c:pt>
                <c:pt idx="9">
                  <c:v>0.87973574644561525</c:v>
                </c:pt>
                <c:pt idx="10">
                  <c:v>0.867568089124366</c:v>
                </c:pt>
                <c:pt idx="11">
                  <c:v>0.85556872311705456</c:v>
                </c:pt>
                <c:pt idx="12">
                  <c:v>0.84373532078035562</c:v>
                </c:pt>
                <c:pt idx="13">
                  <c:v>0.83206558666466413</c:v>
                </c:pt>
                <c:pt idx="14">
                  <c:v>0.82055725706882254</c:v>
                </c:pt>
                <c:pt idx="15">
                  <c:v>0.80920809960100692</c:v>
                </c:pt>
                <c:pt idx="16">
                  <c:v>0.79801591274568617</c:v>
                </c:pt>
                <c:pt idx="17">
                  <c:v>0.78697852543657143</c:v>
                </c:pt>
                <c:pt idx="18">
                  <c:v>0.77609379663547085</c:v>
                </c:pt>
                <c:pt idx="19">
                  <c:v>0.76535961491697058</c:v>
                </c:pt>
                <c:pt idx="20">
                  <c:v>0.75477389805885875</c:v>
                </c:pt>
                <c:pt idx="21">
                  <c:v>0.74433459263821511</c:v>
                </c:pt>
                <c:pt idx="22">
                  <c:v>0.73403967363308709</c:v>
                </c:pt>
                <c:pt idx="23">
                  <c:v>0.7238871440296748</c:v>
                </c:pt>
                <c:pt idx="24">
                  <c:v>0.7138750344349496</c:v>
                </c:pt>
                <c:pt idx="25">
                  <c:v>0.70400140269462974</c:v>
                </c:pt>
                <c:pt idx="26">
                  <c:v>0.69426433351644024</c:v>
                </c:pt>
                <c:pt idx="27">
                  <c:v>0.68466193809858422</c:v>
                </c:pt>
                <c:pt idx="28">
                  <c:v>0.67519235376335118</c:v>
                </c:pt>
                <c:pt idx="29">
                  <c:v>0.66585374359579441</c:v>
                </c:pt>
                <c:pt idx="30">
                  <c:v>0.65664429608740515</c:v>
                </c:pt>
                <c:pt idx="31">
                  <c:v>0.64756222478471492</c:v>
                </c:pt>
                <c:pt idx="32">
                  <c:v>0.63860576794275881</c:v>
                </c:pt>
                <c:pt idx="33">
                  <c:v>0.62977318818333095</c:v>
                </c:pt>
                <c:pt idx="34">
                  <c:v>0.62106277215796701</c:v>
                </c:pt>
                <c:pt idx="35">
                  <c:v>0.61247283021558807</c:v>
                </c:pt>
                <c:pt idx="36">
                  <c:v>0.60400169607474108</c:v>
                </c:pt>
                <c:pt idx="37">
                  <c:v>0.5956477265003729</c:v>
                </c:pt>
                <c:pt idx="38">
                  <c:v>0.58740930098507438</c:v>
                </c:pt>
                <c:pt idx="39">
                  <c:v>0.57928482143473381</c:v>
                </c:pt>
                <c:pt idx="40">
                  <c:v>0.57127271185853779</c:v>
                </c:pt>
                <c:pt idx="41">
                  <c:v>0.56337141806325919</c:v>
                </c:pt>
                <c:pt idx="42">
                  <c:v>0.5555794073517748</c:v>
                </c:pt>
                <c:pt idx="43">
                  <c:v>0.54789516822575102</c:v>
                </c:pt>
                <c:pt idx="44">
                  <c:v>0.54031721009244316</c:v>
                </c:pt>
                <c:pt idx="45">
                  <c:v>0.53284406297554965</c:v>
                </c:pt>
                <c:pt idx="46">
                  <c:v>0.52547427723006446</c:v>
                </c:pt>
                <c:pt idx="47">
                  <c:v>0.51820642326107513</c:v>
                </c:pt>
                <c:pt idx="48">
                  <c:v>0.51103909124644864</c:v>
                </c:pt>
                <c:pt idx="49">
                  <c:v>0.50397089086335345</c:v>
                </c:pt>
                <c:pt idx="50">
                  <c:v>0.4970004510185641</c:v>
                </c:pt>
                <c:pt idx="51">
                  <c:v>0.49012641958249575</c:v>
                </c:pt>
                <c:pt idx="52">
                  <c:v>0.48334746312691729</c:v>
                </c:pt>
                <c:pt idx="53">
                  <c:v>0.47666226666629236</c:v>
                </c:pt>
                <c:pt idx="54">
                  <c:v>0.47006953340269758</c:v>
                </c:pt>
                <c:pt idx="55">
                  <c:v>0.46356798447426928</c:v>
                </c:pt>
                <c:pt idx="56">
                  <c:v>0.45715635870712901</c:v>
                </c:pt>
                <c:pt idx="57">
                  <c:v>0.45083341237074037</c:v>
                </c:pt>
                <c:pt idx="58">
                  <c:v>0.44459791893664952</c:v>
                </c:pt>
                <c:pt idx="59">
                  <c:v>0.43844866884056272</c:v>
                </c:pt>
                <c:pt idx="60">
                  <c:v>0.43238446924771412</c:v>
                </c:pt>
                <c:pt idx="61">
                  <c:v>0.42640414382147923</c:v>
                </c:pt>
                <c:pt idx="62">
                  <c:v>0.42050653249518855</c:v>
                </c:pt>
                <c:pt idx="63">
                  <c:v>0.41469049124709711</c:v>
                </c:pt>
                <c:pt idx="64">
                  <c:v>0.40895489187846656</c:v>
                </c:pt>
                <c:pt idx="65">
                  <c:v>0.40329862179471665</c:v>
                </c:pt>
                <c:pt idx="66">
                  <c:v>0.39772058378960357</c:v>
                </c:pt>
                <c:pt idx="67">
                  <c:v>0.39221969583238303</c:v>
                </c:pt>
                <c:pt idx="68">
                  <c:v>0.38679489085791779</c:v>
                </c:pt>
                <c:pt idx="69">
                  <c:v>0.38144511655968755</c:v>
                </c:pt>
                <c:pt idx="70">
                  <c:v>0.37616933518566198</c:v>
                </c:pt>
                <c:pt idx="71">
                  <c:v>0.37096652333699709</c:v>
                </c:pt>
                <c:pt idx="72">
                  <c:v>0.36583567176951587</c:v>
                </c:pt>
                <c:pt idx="73">
                  <c:v>0.36077578519793424</c:v>
                </c:pt>
              </c:numCache>
            </c:numRef>
          </c:val>
          <c:smooth val="0"/>
        </c:ser>
        <c:ser>
          <c:idx val="3"/>
          <c:order val="3"/>
          <c:tx>
            <c:v>2014</c:v>
          </c:tx>
          <c:marker>
            <c:symbol val="none"/>
          </c:marker>
          <c:cat>
            <c:numRef>
              <c:f>'Inciner 2 - Total - Exponencial'!$AJ$6:$AJ$79</c:f>
              <c:numCache>
                <c:formatCode>General</c:formatCode>
                <c:ptCount val="74"/>
                <c:pt idx="0">
                  <c:v>1</c:v>
                </c:pt>
                <c:pt idx="1">
                  <c:v>6</c:v>
                </c:pt>
                <c:pt idx="2">
                  <c:v>11</c:v>
                </c:pt>
                <c:pt idx="3">
                  <c:v>16</c:v>
                </c:pt>
                <c:pt idx="4">
                  <c:v>21</c:v>
                </c:pt>
                <c:pt idx="5">
                  <c:v>26</c:v>
                </c:pt>
                <c:pt idx="6">
                  <c:v>31</c:v>
                </c:pt>
                <c:pt idx="7">
                  <c:v>36</c:v>
                </c:pt>
                <c:pt idx="8">
                  <c:v>41</c:v>
                </c:pt>
                <c:pt idx="9">
                  <c:v>46</c:v>
                </c:pt>
                <c:pt idx="10">
                  <c:v>51</c:v>
                </c:pt>
                <c:pt idx="11">
                  <c:v>56</c:v>
                </c:pt>
                <c:pt idx="12">
                  <c:v>61</c:v>
                </c:pt>
                <c:pt idx="13">
                  <c:v>66</c:v>
                </c:pt>
                <c:pt idx="14">
                  <c:v>71</c:v>
                </c:pt>
                <c:pt idx="15">
                  <c:v>76</c:v>
                </c:pt>
                <c:pt idx="16">
                  <c:v>81</c:v>
                </c:pt>
                <c:pt idx="17">
                  <c:v>86</c:v>
                </c:pt>
                <c:pt idx="18">
                  <c:v>91</c:v>
                </c:pt>
                <c:pt idx="19">
                  <c:v>96</c:v>
                </c:pt>
                <c:pt idx="20">
                  <c:v>101</c:v>
                </c:pt>
                <c:pt idx="21">
                  <c:v>106</c:v>
                </c:pt>
                <c:pt idx="22">
                  <c:v>111</c:v>
                </c:pt>
                <c:pt idx="23">
                  <c:v>116</c:v>
                </c:pt>
                <c:pt idx="24">
                  <c:v>121</c:v>
                </c:pt>
                <c:pt idx="25">
                  <c:v>126</c:v>
                </c:pt>
                <c:pt idx="26">
                  <c:v>131</c:v>
                </c:pt>
                <c:pt idx="27">
                  <c:v>136</c:v>
                </c:pt>
                <c:pt idx="28">
                  <c:v>141</c:v>
                </c:pt>
                <c:pt idx="29">
                  <c:v>146</c:v>
                </c:pt>
                <c:pt idx="30">
                  <c:v>151</c:v>
                </c:pt>
                <c:pt idx="31">
                  <c:v>156</c:v>
                </c:pt>
                <c:pt idx="32">
                  <c:v>161</c:v>
                </c:pt>
                <c:pt idx="33">
                  <c:v>166</c:v>
                </c:pt>
                <c:pt idx="34">
                  <c:v>171</c:v>
                </c:pt>
                <c:pt idx="35">
                  <c:v>176</c:v>
                </c:pt>
                <c:pt idx="36">
                  <c:v>181</c:v>
                </c:pt>
                <c:pt idx="37">
                  <c:v>186</c:v>
                </c:pt>
                <c:pt idx="38">
                  <c:v>191</c:v>
                </c:pt>
                <c:pt idx="39">
                  <c:v>196</c:v>
                </c:pt>
                <c:pt idx="40">
                  <c:v>201</c:v>
                </c:pt>
                <c:pt idx="41">
                  <c:v>206</c:v>
                </c:pt>
                <c:pt idx="42">
                  <c:v>211</c:v>
                </c:pt>
                <c:pt idx="43">
                  <c:v>216</c:v>
                </c:pt>
                <c:pt idx="44">
                  <c:v>221</c:v>
                </c:pt>
                <c:pt idx="45">
                  <c:v>226</c:v>
                </c:pt>
                <c:pt idx="46">
                  <c:v>231</c:v>
                </c:pt>
                <c:pt idx="47">
                  <c:v>236</c:v>
                </c:pt>
                <c:pt idx="48">
                  <c:v>241</c:v>
                </c:pt>
                <c:pt idx="49">
                  <c:v>246</c:v>
                </c:pt>
                <c:pt idx="50">
                  <c:v>251</c:v>
                </c:pt>
                <c:pt idx="51">
                  <c:v>256</c:v>
                </c:pt>
                <c:pt idx="52">
                  <c:v>261</c:v>
                </c:pt>
                <c:pt idx="53">
                  <c:v>266</c:v>
                </c:pt>
                <c:pt idx="54">
                  <c:v>271</c:v>
                </c:pt>
                <c:pt idx="55">
                  <c:v>276</c:v>
                </c:pt>
                <c:pt idx="56">
                  <c:v>281</c:v>
                </c:pt>
                <c:pt idx="57">
                  <c:v>286</c:v>
                </c:pt>
                <c:pt idx="58">
                  <c:v>291</c:v>
                </c:pt>
                <c:pt idx="59">
                  <c:v>296</c:v>
                </c:pt>
                <c:pt idx="60">
                  <c:v>301</c:v>
                </c:pt>
                <c:pt idx="61">
                  <c:v>306</c:v>
                </c:pt>
                <c:pt idx="62">
                  <c:v>311</c:v>
                </c:pt>
                <c:pt idx="63">
                  <c:v>316</c:v>
                </c:pt>
                <c:pt idx="64">
                  <c:v>321</c:v>
                </c:pt>
                <c:pt idx="65">
                  <c:v>326</c:v>
                </c:pt>
                <c:pt idx="66">
                  <c:v>331</c:v>
                </c:pt>
                <c:pt idx="67">
                  <c:v>336</c:v>
                </c:pt>
                <c:pt idx="68">
                  <c:v>341</c:v>
                </c:pt>
                <c:pt idx="69">
                  <c:v>346</c:v>
                </c:pt>
                <c:pt idx="70">
                  <c:v>351</c:v>
                </c:pt>
                <c:pt idx="71">
                  <c:v>356</c:v>
                </c:pt>
                <c:pt idx="72">
                  <c:v>361</c:v>
                </c:pt>
                <c:pt idx="73">
                  <c:v>366</c:v>
                </c:pt>
              </c:numCache>
            </c:numRef>
          </c:cat>
          <c:val>
            <c:numRef>
              <c:f>'Inciner 2 - Total - Exponencial'!$AW$6:$AW$79</c:f>
              <c:numCache>
                <c:formatCode>General</c:formatCode>
                <c:ptCount val="74"/>
                <c:pt idx="0">
                  <c:v>0.99721836062779279</c:v>
                </c:pt>
                <c:pt idx="1">
                  <c:v>0.98342579696807908</c:v>
                </c:pt>
                <c:pt idx="2">
                  <c:v>0.96982399876136749</c:v>
                </c:pt>
                <c:pt idx="3">
                  <c:v>0.95641032752369259</c:v>
                </c:pt>
                <c:pt idx="4">
                  <c:v>0.94318218126405728</c:v>
                </c:pt>
                <c:pt idx="5">
                  <c:v>0.93013699397969707</c:v>
                </c:pt>
                <c:pt idx="6">
                  <c:v>0.9172722351583259</c:v>
                </c:pt>
                <c:pt idx="7">
                  <c:v>0.9045854092872655</c:v>
                </c:pt>
                <c:pt idx="8">
                  <c:v>0.89207405536936502</c:v>
                </c:pt>
                <c:pt idx="9">
                  <c:v>0.87973574644561525</c:v>
                </c:pt>
                <c:pt idx="10">
                  <c:v>0.867568089124366</c:v>
                </c:pt>
                <c:pt idx="11">
                  <c:v>0.85556872311705456</c:v>
                </c:pt>
                <c:pt idx="12">
                  <c:v>0.84373532078035562</c:v>
                </c:pt>
                <c:pt idx="13">
                  <c:v>0.83206558666466413</c:v>
                </c:pt>
                <c:pt idx="14">
                  <c:v>0.82055725706882254</c:v>
                </c:pt>
                <c:pt idx="15">
                  <c:v>0.80920809960100692</c:v>
                </c:pt>
                <c:pt idx="16">
                  <c:v>0.79801591274568617</c:v>
                </c:pt>
                <c:pt idx="17">
                  <c:v>0.78697852543657143</c:v>
                </c:pt>
                <c:pt idx="18">
                  <c:v>0.77609379663547085</c:v>
                </c:pt>
                <c:pt idx="19">
                  <c:v>0.76535961491697058</c:v>
                </c:pt>
                <c:pt idx="20">
                  <c:v>0.75477389805885875</c:v>
                </c:pt>
                <c:pt idx="21">
                  <c:v>0.74433459263821511</c:v>
                </c:pt>
                <c:pt idx="22">
                  <c:v>0.73403967363308709</c:v>
                </c:pt>
                <c:pt idx="23">
                  <c:v>0.7238871440296748</c:v>
                </c:pt>
                <c:pt idx="24">
                  <c:v>0.7138750344349496</c:v>
                </c:pt>
                <c:pt idx="25">
                  <c:v>0.70400140269462974</c:v>
                </c:pt>
                <c:pt idx="26">
                  <c:v>0.69426433351644024</c:v>
                </c:pt>
                <c:pt idx="27">
                  <c:v>0.68466193809858422</c:v>
                </c:pt>
                <c:pt idx="28">
                  <c:v>0.67519235376335118</c:v>
                </c:pt>
                <c:pt idx="29">
                  <c:v>0.66585374359579441</c:v>
                </c:pt>
                <c:pt idx="30">
                  <c:v>0.65664429608740515</c:v>
                </c:pt>
                <c:pt idx="31">
                  <c:v>0.64756222478471492</c:v>
                </c:pt>
                <c:pt idx="32">
                  <c:v>0.63860576794275881</c:v>
                </c:pt>
                <c:pt idx="33">
                  <c:v>0.62977318818333095</c:v>
                </c:pt>
                <c:pt idx="34">
                  <c:v>0.62106277215796701</c:v>
                </c:pt>
                <c:pt idx="35">
                  <c:v>0.61247283021558807</c:v>
                </c:pt>
                <c:pt idx="36">
                  <c:v>0.60400169607474108</c:v>
                </c:pt>
                <c:pt idx="37">
                  <c:v>0.5956477265003729</c:v>
                </c:pt>
                <c:pt idx="38">
                  <c:v>0.58740930098507438</c:v>
                </c:pt>
                <c:pt idx="39">
                  <c:v>0.57928482143473381</c:v>
                </c:pt>
                <c:pt idx="40">
                  <c:v>0.57127271185853779</c:v>
                </c:pt>
                <c:pt idx="41">
                  <c:v>0.56337141806325919</c:v>
                </c:pt>
                <c:pt idx="42">
                  <c:v>0.5555794073517748</c:v>
                </c:pt>
                <c:pt idx="43">
                  <c:v>0.54789516822575102</c:v>
                </c:pt>
                <c:pt idx="44">
                  <c:v>0.54031721009244316</c:v>
                </c:pt>
                <c:pt idx="45">
                  <c:v>0.53284406297554965</c:v>
                </c:pt>
                <c:pt idx="46">
                  <c:v>0.52547427723006446</c:v>
                </c:pt>
                <c:pt idx="47">
                  <c:v>0.51820642326107513</c:v>
                </c:pt>
                <c:pt idx="48">
                  <c:v>0.51103909124644864</c:v>
                </c:pt>
                <c:pt idx="49">
                  <c:v>0.50397089086335345</c:v>
                </c:pt>
                <c:pt idx="50">
                  <c:v>0.4970004510185641</c:v>
                </c:pt>
                <c:pt idx="51">
                  <c:v>0.49012641958249575</c:v>
                </c:pt>
                <c:pt idx="52">
                  <c:v>0.48334746312691729</c:v>
                </c:pt>
                <c:pt idx="53">
                  <c:v>0.47666226666629236</c:v>
                </c:pt>
                <c:pt idx="54">
                  <c:v>0.47006953340269758</c:v>
                </c:pt>
                <c:pt idx="55">
                  <c:v>0.46356798447426928</c:v>
                </c:pt>
                <c:pt idx="56">
                  <c:v>0.45715635870712901</c:v>
                </c:pt>
                <c:pt idx="57">
                  <c:v>0.45083341237074037</c:v>
                </c:pt>
                <c:pt idx="58">
                  <c:v>0.44459791893664952</c:v>
                </c:pt>
                <c:pt idx="59">
                  <c:v>0.43844866884056272</c:v>
                </c:pt>
                <c:pt idx="60">
                  <c:v>0.43238446924771412</c:v>
                </c:pt>
                <c:pt idx="61">
                  <c:v>0.42640414382147923</c:v>
                </c:pt>
                <c:pt idx="62">
                  <c:v>0.42050653249518855</c:v>
                </c:pt>
                <c:pt idx="63">
                  <c:v>0.41469049124709711</c:v>
                </c:pt>
                <c:pt idx="64">
                  <c:v>0.40895489187846656</c:v>
                </c:pt>
                <c:pt idx="65">
                  <c:v>0.40329862179471665</c:v>
                </c:pt>
                <c:pt idx="66">
                  <c:v>0.39772058378960357</c:v>
                </c:pt>
                <c:pt idx="67">
                  <c:v>0.39221969583238303</c:v>
                </c:pt>
                <c:pt idx="68">
                  <c:v>0.38679489085791779</c:v>
                </c:pt>
                <c:pt idx="69">
                  <c:v>0.38144511655968755</c:v>
                </c:pt>
                <c:pt idx="70">
                  <c:v>0.37616933518566198</c:v>
                </c:pt>
                <c:pt idx="71">
                  <c:v>0.37096652333699709</c:v>
                </c:pt>
                <c:pt idx="72">
                  <c:v>0.36583567176951587</c:v>
                </c:pt>
                <c:pt idx="73">
                  <c:v>0.36077578519793424</c:v>
                </c:pt>
              </c:numCache>
            </c:numRef>
          </c:val>
          <c:smooth val="0"/>
        </c:ser>
        <c:dLbls>
          <c:showLegendKey val="0"/>
          <c:showVal val="0"/>
          <c:showCatName val="0"/>
          <c:showSerName val="0"/>
          <c:showPercent val="0"/>
          <c:showBubbleSize val="0"/>
        </c:dLbls>
        <c:marker val="1"/>
        <c:smooth val="0"/>
        <c:axId val="119551488"/>
        <c:axId val="119553024"/>
      </c:lineChart>
      <c:catAx>
        <c:axId val="119551488"/>
        <c:scaling>
          <c:orientation val="minMax"/>
        </c:scaling>
        <c:delete val="0"/>
        <c:axPos val="b"/>
        <c:numFmt formatCode="General" sourceLinked="1"/>
        <c:majorTickMark val="out"/>
        <c:minorTickMark val="none"/>
        <c:tickLblPos val="nextTo"/>
        <c:crossAx val="119553024"/>
        <c:crosses val="autoZero"/>
        <c:auto val="1"/>
        <c:lblAlgn val="ctr"/>
        <c:lblOffset val="100"/>
        <c:noMultiLvlLbl val="0"/>
      </c:catAx>
      <c:valAx>
        <c:axId val="119553024"/>
        <c:scaling>
          <c:orientation val="minMax"/>
          <c:max val="1"/>
        </c:scaling>
        <c:delete val="0"/>
        <c:axPos val="l"/>
        <c:majorGridlines/>
        <c:numFmt formatCode="General" sourceLinked="1"/>
        <c:majorTickMark val="out"/>
        <c:minorTickMark val="none"/>
        <c:tickLblPos val="nextTo"/>
        <c:crossAx val="119551488"/>
        <c:crosses val="autoZero"/>
        <c:crossBetween val="between"/>
      </c:valAx>
    </c:plotArea>
    <c:legend>
      <c:legendPos val="r"/>
      <c:layout/>
      <c:overlay val="0"/>
    </c:legend>
    <c:plotVisOnly val="1"/>
    <c:dispBlanksAs val="gap"/>
    <c:showDLblsOverMax val="0"/>
  </c:chart>
  <c:printSettings>
    <c:headerFooter/>
    <c:pageMargins b="0.75" l="0.7" r="0.7" t="0.75" header="0.3" footer="0.3"/>
    <c:pageSetup/>
  </c:printSettings>
</c:chartSpace>
</file>

<file path=xl/charts/chart123.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pt-PT"/>
              <a:t>Forno</a:t>
            </a:r>
            <a:r>
              <a:rPr lang="pt-PT" baseline="0"/>
              <a:t> 2 - Arrefecedor</a:t>
            </a:r>
            <a:endParaRPr lang="pt-PT"/>
          </a:p>
        </c:rich>
      </c:tx>
      <c:layout/>
      <c:overlay val="0"/>
    </c:title>
    <c:autoTitleDeleted val="0"/>
    <c:plotArea>
      <c:layout/>
      <c:lineChart>
        <c:grouping val="standard"/>
        <c:varyColors val="0"/>
        <c:ser>
          <c:idx val="0"/>
          <c:order val="0"/>
          <c:tx>
            <c:v>2014</c:v>
          </c:tx>
          <c:marker>
            <c:symbol val="none"/>
          </c:marker>
          <c:val>
            <c:numRef>
              <c:f>'Inciner 2 - Total - Exponencial'!$AX$6:$AX$79</c:f>
              <c:numCache>
                <c:formatCode>General</c:formatCode>
                <c:ptCount val="74"/>
                <c:pt idx="0">
                  <c:v>0.99717114757514036</c:v>
                </c:pt>
                <c:pt idx="1">
                  <c:v>0.98314646974844278</c:v>
                </c:pt>
                <c:pt idx="2">
                  <c:v>0.96931904149983517</c:v>
                </c:pt>
                <c:pt idx="3">
                  <c:v>0.95568608861970372</c:v>
                </c:pt>
                <c:pt idx="4">
                  <c:v>0.94224487591620631</c:v>
                </c:pt>
                <c:pt idx="5">
                  <c:v>0.92899270666650824</c:v>
                </c:pt>
                <c:pt idx="6">
                  <c:v>0.91592692207573645</c:v>
                </c:pt>
                <c:pt idx="7">
                  <c:v>0.90304490074354282</c:v>
                </c:pt>
                <c:pt idx="8">
                  <c:v>0.89034405813817064</c:v>
                </c:pt>
                <c:pt idx="9">
                  <c:v>0.87782184607791702</c:v>
                </c:pt>
                <c:pt idx="10">
                  <c:v>0.86547575221988959</c:v>
                </c:pt>
                <c:pt idx="11">
                  <c:v>0.85330329955595197</c:v>
                </c:pt>
                <c:pt idx="12">
                  <c:v>0.84130204591576041</c:v>
                </c:pt>
                <c:pt idx="13">
                  <c:v>0.82946958347678779</c:v>
                </c:pt>
                <c:pt idx="14">
                  <c:v>0.81780353828124086</c:v>
                </c:pt>
                <c:pt idx="15">
                  <c:v>0.80630156975977052</c:v>
                </c:pt>
                <c:pt idx="16">
                  <c:v>0.79496137026188129</c:v>
                </c:pt>
                <c:pt idx="17">
                  <c:v>0.78378066459294515</c:v>
                </c:pt>
                <c:pt idx="18">
                  <c:v>0.77275720955772753</c:v>
                </c:pt>
                <c:pt idx="19">
                  <c:v>0.76188879351033245</c:v>
                </c:pt>
                <c:pt idx="20">
                  <c:v>0.75117323591047869</c:v>
                </c:pt>
                <c:pt idx="21">
                  <c:v>0.74060838688601527</c:v>
                </c:pt>
                <c:pt idx="22">
                  <c:v>0.73019212680159096</c:v>
                </c:pt>
                <c:pt idx="23">
                  <c:v>0.71992236583338987</c:v>
                </c:pt>
                <c:pt idx="24">
                  <c:v>0.70979704354984841</c:v>
                </c:pt>
                <c:pt idx="25">
                  <c:v>0.69981412849826852</c:v>
                </c:pt>
                <c:pt idx="26">
                  <c:v>0.68997161779724592</c:v>
                </c:pt>
                <c:pt idx="27">
                  <c:v>0.68026753673482976</c:v>
                </c:pt>
                <c:pt idx="28">
                  <c:v>0.67069993837233488</c:v>
                </c:pt>
                <c:pt idx="29">
                  <c:v>0.66126690315372494</c:v>
                </c:pt>
                <c:pt idx="30">
                  <c:v>0.65196653852049113</c:v>
                </c:pt>
                <c:pt idx="31">
                  <c:v>0.64279697853194562</c:v>
                </c:pt>
                <c:pt idx="32">
                  <c:v>0.63375638349085628</c:v>
                </c:pt>
                <c:pt idx="33">
                  <c:v>0.624842939574347</c:v>
                </c:pt>
                <c:pt idx="34">
                  <c:v>0.6160548584699882</c:v>
                </c:pt>
                <c:pt idx="35">
                  <c:v>0.60739037701700638</c:v>
                </c:pt>
                <c:pt idx="36">
                  <c:v>0.59884775685253955</c:v>
                </c:pt>
                <c:pt idx="37">
                  <c:v>0.59042528406286787</c:v>
                </c:pt>
                <c:pt idx="38">
                  <c:v>0.58212126883954918</c:v>
                </c:pt>
                <c:pt idx="39">
                  <c:v>0.57393404514039192</c:v>
                </c:pt>
                <c:pt idx="40">
                  <c:v>0.56586197035519481</c:v>
                </c:pt>
                <c:pt idx="41">
                  <c:v>0.55790342497618928</c:v>
                </c:pt>
                <c:pt idx="42">
                  <c:v>0.55005681227311498</c:v>
                </c:pt>
                <c:pt idx="43">
                  <c:v>0.54232055797286771</c:v>
                </c:pt>
                <c:pt idx="44">
                  <c:v>0.53469310994365049</c:v>
                </c:pt>
                <c:pt idx="45">
                  <c:v>0.52717293788356834</c:v>
                </c:pt>
                <c:pt idx="46">
                  <c:v>0.51975853301360231</c:v>
                </c:pt>
                <c:pt idx="47">
                  <c:v>0.51244840777490208</c:v>
                </c:pt>
                <c:pt idx="48">
                  <c:v>0.50524109553033514</c:v>
                </c:pt>
                <c:pt idx="49">
                  <c:v>0.49813515027023453</c:v>
                </c:pt>
                <c:pt idx="50">
                  <c:v>0.49112914632228416</c:v>
                </c:pt>
                <c:pt idx="51">
                  <c:v>0.48422167806548527</c:v>
                </c:pt>
                <c:pt idx="52">
                  <c:v>0.47741135964814496</c:v>
                </c:pt>
                <c:pt idx="53">
                  <c:v>0.47069682470983204</c:v>
                </c:pt>
                <c:pt idx="54">
                  <c:v>0.46407672610724243</c:v>
                </c:pt>
                <c:pt idx="55">
                  <c:v>0.45754973564392054</c:v>
                </c:pt>
                <c:pt idx="56">
                  <c:v>0.45111454380378252</c:v>
                </c:pt>
                <c:pt idx="57">
                  <c:v>0.44476985948838627</c:v>
                </c:pt>
                <c:pt idx="58">
                  <c:v>0.43851440975789746</c:v>
                </c:pt>
                <c:pt idx="59">
                  <c:v>0.43234693957569831</c:v>
                </c:pt>
                <c:pt idx="60">
                  <c:v>0.42626621155658867</c:v>
                </c:pt>
                <c:pt idx="61">
                  <c:v>0.4202710057185281</c:v>
                </c:pt>
                <c:pt idx="62">
                  <c:v>0.41436011923786975</c:v>
                </c:pt>
                <c:pt idx="63">
                  <c:v>0.40853236620803668</c:v>
                </c:pt>
                <c:pt idx="64">
                  <c:v>0.40278657740159268</c:v>
                </c:pt>
                <c:pt idx="65">
                  <c:v>0.39712160003565877</c:v>
                </c:pt>
                <c:pt idx="66">
                  <c:v>0.39153629754062941</c:v>
                </c:pt>
                <c:pt idx="67">
                  <c:v>0.3860295493321414</c:v>
                </c:pt>
                <c:pt idx="68">
                  <c:v>0.38060025058625024</c:v>
                </c:pt>
                <c:pt idx="69">
                  <c:v>0.37524731201776818</c:v>
                </c:pt>
                <c:pt idx="70">
                  <c:v>0.36996965966171974</c:v>
                </c:pt>
                <c:pt idx="71">
                  <c:v>0.3647662346578715</c:v>
                </c:pt>
                <c:pt idx="72">
                  <c:v>0.35963599303829163</c:v>
                </c:pt>
                <c:pt idx="73">
                  <c:v>0.35457790551789786</c:v>
                </c:pt>
              </c:numCache>
            </c:numRef>
          </c:val>
          <c:smooth val="0"/>
        </c:ser>
        <c:ser>
          <c:idx val="1"/>
          <c:order val="1"/>
          <c:tx>
            <c:v>2015</c:v>
          </c:tx>
          <c:marker>
            <c:symbol val="none"/>
          </c:marker>
          <c:val>
            <c:numRef>
              <c:f>'Inciner 2 - Total - Exponencial'!$AY$6:$AY$79</c:f>
              <c:numCache>
                <c:formatCode>General</c:formatCode>
                <c:ptCount val="74"/>
                <c:pt idx="0">
                  <c:v>0.99721836062779279</c:v>
                </c:pt>
                <c:pt idx="1">
                  <c:v>0.98342579696807908</c:v>
                </c:pt>
                <c:pt idx="2">
                  <c:v>0.96982399876136749</c:v>
                </c:pt>
                <c:pt idx="3">
                  <c:v>0.95641032752369259</c:v>
                </c:pt>
                <c:pt idx="4">
                  <c:v>0.94318218126405728</c:v>
                </c:pt>
                <c:pt idx="5">
                  <c:v>0.93013699397969707</c:v>
                </c:pt>
                <c:pt idx="6">
                  <c:v>0.9172722351583259</c:v>
                </c:pt>
                <c:pt idx="7">
                  <c:v>0.9045854092872655</c:v>
                </c:pt>
                <c:pt idx="8">
                  <c:v>0.89207405536936502</c:v>
                </c:pt>
                <c:pt idx="9">
                  <c:v>0.87973574644561525</c:v>
                </c:pt>
                <c:pt idx="10">
                  <c:v>0.867568089124366</c:v>
                </c:pt>
                <c:pt idx="11">
                  <c:v>0.85556872311705456</c:v>
                </c:pt>
                <c:pt idx="12">
                  <c:v>0.84373532078035562</c:v>
                </c:pt>
                <c:pt idx="13">
                  <c:v>0.83206558666466413</c:v>
                </c:pt>
                <c:pt idx="14">
                  <c:v>0.82055725706882254</c:v>
                </c:pt>
                <c:pt idx="15">
                  <c:v>0.80920809960100692</c:v>
                </c:pt>
                <c:pt idx="16">
                  <c:v>0.79801591274568617</c:v>
                </c:pt>
                <c:pt idx="17">
                  <c:v>0.78697852543657143</c:v>
                </c:pt>
                <c:pt idx="18">
                  <c:v>0.77609379663547085</c:v>
                </c:pt>
                <c:pt idx="19">
                  <c:v>0.76535961491697058</c:v>
                </c:pt>
                <c:pt idx="20">
                  <c:v>0.75477389805885875</c:v>
                </c:pt>
                <c:pt idx="21">
                  <c:v>0.74433459263821511</c:v>
                </c:pt>
                <c:pt idx="22">
                  <c:v>0.73403967363308709</c:v>
                </c:pt>
                <c:pt idx="23">
                  <c:v>0.7238871440296748</c:v>
                </c:pt>
                <c:pt idx="24">
                  <c:v>0.7138750344349496</c:v>
                </c:pt>
                <c:pt idx="25">
                  <c:v>0.70400140269462974</c:v>
                </c:pt>
                <c:pt idx="26">
                  <c:v>0.69426433351644024</c:v>
                </c:pt>
                <c:pt idx="27">
                  <c:v>0.68466193809858422</c:v>
                </c:pt>
                <c:pt idx="28">
                  <c:v>0.67519235376335118</c:v>
                </c:pt>
                <c:pt idx="29">
                  <c:v>0.66585374359579441</c:v>
                </c:pt>
                <c:pt idx="30">
                  <c:v>0.65664429608740515</c:v>
                </c:pt>
                <c:pt idx="31">
                  <c:v>0.64756222478471492</c:v>
                </c:pt>
                <c:pt idx="32">
                  <c:v>0.63860576794275881</c:v>
                </c:pt>
                <c:pt idx="33">
                  <c:v>0.62977318818333095</c:v>
                </c:pt>
                <c:pt idx="34">
                  <c:v>0.62106277215796701</c:v>
                </c:pt>
                <c:pt idx="35">
                  <c:v>0.61247283021558807</c:v>
                </c:pt>
                <c:pt idx="36">
                  <c:v>0.60400169607474108</c:v>
                </c:pt>
                <c:pt idx="37">
                  <c:v>0.5956477265003729</c:v>
                </c:pt>
                <c:pt idx="38">
                  <c:v>0.58740930098507438</c:v>
                </c:pt>
                <c:pt idx="39">
                  <c:v>0.57928482143473381</c:v>
                </c:pt>
                <c:pt idx="40">
                  <c:v>0.57127271185853779</c:v>
                </c:pt>
                <c:pt idx="41">
                  <c:v>0.56337141806325919</c:v>
                </c:pt>
                <c:pt idx="42">
                  <c:v>0.5555794073517748</c:v>
                </c:pt>
                <c:pt idx="43">
                  <c:v>0.54789516822575102</c:v>
                </c:pt>
                <c:pt idx="44">
                  <c:v>0.54031721009244316</c:v>
                </c:pt>
                <c:pt idx="45">
                  <c:v>0.53284406297554965</c:v>
                </c:pt>
                <c:pt idx="46">
                  <c:v>0.52547427723006446</c:v>
                </c:pt>
                <c:pt idx="47">
                  <c:v>0.51820642326107513</c:v>
                </c:pt>
                <c:pt idx="48">
                  <c:v>0.51103909124644864</c:v>
                </c:pt>
                <c:pt idx="49">
                  <c:v>0.50397089086335345</c:v>
                </c:pt>
                <c:pt idx="50">
                  <c:v>0.4970004510185641</c:v>
                </c:pt>
                <c:pt idx="51">
                  <c:v>0.49012641958249575</c:v>
                </c:pt>
                <c:pt idx="52">
                  <c:v>0.48334746312691729</c:v>
                </c:pt>
                <c:pt idx="53">
                  <c:v>0.47666226666629236</c:v>
                </c:pt>
                <c:pt idx="54">
                  <c:v>0.47006953340269758</c:v>
                </c:pt>
                <c:pt idx="55">
                  <c:v>0.46356798447426928</c:v>
                </c:pt>
                <c:pt idx="56">
                  <c:v>0.45715635870712901</c:v>
                </c:pt>
                <c:pt idx="57">
                  <c:v>0.45083341237074037</c:v>
                </c:pt>
                <c:pt idx="58">
                  <c:v>0.44459791893664952</c:v>
                </c:pt>
                <c:pt idx="59">
                  <c:v>0.43844866884056272</c:v>
                </c:pt>
                <c:pt idx="60">
                  <c:v>0.43238446924771412</c:v>
                </c:pt>
                <c:pt idx="61">
                  <c:v>0.42640414382147923</c:v>
                </c:pt>
                <c:pt idx="62">
                  <c:v>0.42050653249518855</c:v>
                </c:pt>
                <c:pt idx="63">
                  <c:v>0.41469049124709711</c:v>
                </c:pt>
                <c:pt idx="64">
                  <c:v>0.40895489187846656</c:v>
                </c:pt>
                <c:pt idx="65">
                  <c:v>0.40329862179471665</c:v>
                </c:pt>
                <c:pt idx="66">
                  <c:v>0.39772058378960357</c:v>
                </c:pt>
                <c:pt idx="67">
                  <c:v>0.39221969583238303</c:v>
                </c:pt>
                <c:pt idx="68">
                  <c:v>0.38679489085791779</c:v>
                </c:pt>
                <c:pt idx="69">
                  <c:v>0.38144511655968755</c:v>
                </c:pt>
                <c:pt idx="70">
                  <c:v>0.37616933518566198</c:v>
                </c:pt>
                <c:pt idx="71">
                  <c:v>0.37096652333699709</c:v>
                </c:pt>
                <c:pt idx="72">
                  <c:v>0.36583567176951587</c:v>
                </c:pt>
                <c:pt idx="73">
                  <c:v>0.36077578519793424</c:v>
                </c:pt>
              </c:numCache>
            </c:numRef>
          </c:val>
          <c:smooth val="0"/>
        </c:ser>
        <c:dLbls>
          <c:showLegendKey val="0"/>
          <c:showVal val="0"/>
          <c:showCatName val="0"/>
          <c:showSerName val="0"/>
          <c:showPercent val="0"/>
          <c:showBubbleSize val="0"/>
        </c:dLbls>
        <c:marker val="1"/>
        <c:smooth val="0"/>
        <c:axId val="119587200"/>
        <c:axId val="119588736"/>
      </c:lineChart>
      <c:catAx>
        <c:axId val="119587200"/>
        <c:scaling>
          <c:orientation val="minMax"/>
        </c:scaling>
        <c:delete val="0"/>
        <c:axPos val="b"/>
        <c:numFmt formatCode="General" sourceLinked="1"/>
        <c:majorTickMark val="out"/>
        <c:minorTickMark val="none"/>
        <c:tickLblPos val="nextTo"/>
        <c:crossAx val="119588736"/>
        <c:crosses val="autoZero"/>
        <c:auto val="1"/>
        <c:lblAlgn val="ctr"/>
        <c:lblOffset val="100"/>
        <c:noMultiLvlLbl val="0"/>
      </c:catAx>
      <c:valAx>
        <c:axId val="119588736"/>
        <c:scaling>
          <c:orientation val="minMax"/>
          <c:max val="1"/>
        </c:scaling>
        <c:delete val="0"/>
        <c:axPos val="l"/>
        <c:majorGridlines/>
        <c:numFmt formatCode="General" sourceLinked="1"/>
        <c:majorTickMark val="out"/>
        <c:minorTickMark val="none"/>
        <c:tickLblPos val="nextTo"/>
        <c:crossAx val="119587200"/>
        <c:crosses val="autoZero"/>
        <c:crossBetween val="between"/>
      </c:valAx>
    </c:plotArea>
    <c:legend>
      <c:legendPos val="r"/>
      <c:layout/>
      <c:overlay val="0"/>
    </c:legend>
    <c:plotVisOnly val="1"/>
    <c:dispBlanksAs val="gap"/>
    <c:showDLblsOverMax val="0"/>
  </c:chart>
  <c:printSettings>
    <c:headerFooter/>
    <c:pageMargins b="0.75" l="0.7" r="0.7" t="0.75" header="0.3" footer="0.3"/>
    <c:pageSetup/>
  </c:printSettings>
</c:chartSpace>
</file>

<file path=xl/charts/chart124.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marker>
            <c:symbol val="none"/>
          </c:marker>
          <c:cat>
            <c:numRef>
              <c:f>'Incinerador 2 - Total - Weibull'!$X$13:$X$44</c:f>
              <c:numCache>
                <c:formatCode>General</c:formatCode>
                <c:ptCount val="32"/>
                <c:pt idx="0">
                  <c:v>0</c:v>
                </c:pt>
                <c:pt idx="1">
                  <c:v>10</c:v>
                </c:pt>
                <c:pt idx="2">
                  <c:v>20</c:v>
                </c:pt>
                <c:pt idx="3">
                  <c:v>30</c:v>
                </c:pt>
                <c:pt idx="4">
                  <c:v>40</c:v>
                </c:pt>
                <c:pt idx="5">
                  <c:v>50</c:v>
                </c:pt>
                <c:pt idx="6">
                  <c:v>60</c:v>
                </c:pt>
                <c:pt idx="7">
                  <c:v>70</c:v>
                </c:pt>
                <c:pt idx="8">
                  <c:v>80</c:v>
                </c:pt>
                <c:pt idx="9">
                  <c:v>90</c:v>
                </c:pt>
                <c:pt idx="10">
                  <c:v>100</c:v>
                </c:pt>
                <c:pt idx="11">
                  <c:v>110</c:v>
                </c:pt>
                <c:pt idx="12">
                  <c:v>120</c:v>
                </c:pt>
                <c:pt idx="13">
                  <c:v>130</c:v>
                </c:pt>
                <c:pt idx="14">
                  <c:v>140</c:v>
                </c:pt>
                <c:pt idx="15">
                  <c:v>150</c:v>
                </c:pt>
                <c:pt idx="16">
                  <c:v>160</c:v>
                </c:pt>
                <c:pt idx="17">
                  <c:v>170</c:v>
                </c:pt>
                <c:pt idx="18">
                  <c:v>180</c:v>
                </c:pt>
                <c:pt idx="19">
                  <c:v>190</c:v>
                </c:pt>
                <c:pt idx="20">
                  <c:v>200</c:v>
                </c:pt>
                <c:pt idx="21">
                  <c:v>210</c:v>
                </c:pt>
                <c:pt idx="22">
                  <c:v>220</c:v>
                </c:pt>
                <c:pt idx="23">
                  <c:v>230</c:v>
                </c:pt>
                <c:pt idx="24">
                  <c:v>240</c:v>
                </c:pt>
                <c:pt idx="25">
                  <c:v>250</c:v>
                </c:pt>
                <c:pt idx="26">
                  <c:v>260</c:v>
                </c:pt>
                <c:pt idx="27">
                  <c:v>270</c:v>
                </c:pt>
                <c:pt idx="28">
                  <c:v>280</c:v>
                </c:pt>
                <c:pt idx="29">
                  <c:v>290</c:v>
                </c:pt>
                <c:pt idx="30">
                  <c:v>300</c:v>
                </c:pt>
                <c:pt idx="31">
                  <c:v>310</c:v>
                </c:pt>
              </c:numCache>
            </c:numRef>
          </c:cat>
          <c:val>
            <c:numRef>
              <c:f>'Incinerador 2 - Total - Weibull'!$Y$13:$Y$44</c:f>
              <c:numCache>
                <c:formatCode>General</c:formatCode>
                <c:ptCount val="32"/>
                <c:pt idx="0">
                  <c:v>1</c:v>
                </c:pt>
                <c:pt idx="1">
                  <c:v>0.95358988559465729</c:v>
                </c:pt>
                <c:pt idx="2">
                  <c:v>0.89038425974744972</c:v>
                </c:pt>
                <c:pt idx="3">
                  <c:v>0.82219021549116678</c:v>
                </c:pt>
                <c:pt idx="4">
                  <c:v>0.75302679914203541</c:v>
                </c:pt>
                <c:pt idx="5">
                  <c:v>0.68511740083277783</c:v>
                </c:pt>
                <c:pt idx="6">
                  <c:v>0.61981911789528166</c:v>
                </c:pt>
                <c:pt idx="7">
                  <c:v>0.55797096168278482</c:v>
                </c:pt>
                <c:pt idx="8">
                  <c:v>0.50006903412085479</c:v>
                </c:pt>
                <c:pt idx="9">
                  <c:v>0.44637065069913173</c:v>
                </c:pt>
                <c:pt idx="10">
                  <c:v>0.39696296816569576</c:v>
                </c:pt>
                <c:pt idx="11">
                  <c:v>0.35181126719536604</c:v>
                </c:pt>
                <c:pt idx="12">
                  <c:v>0.31079433265833206</c:v>
                </c:pt>
                <c:pt idx="13">
                  <c:v>0.27373101709058273</c:v>
                </c:pt>
                <c:pt idx="14">
                  <c:v>0.24040044405623176</c:v>
                </c:pt>
                <c:pt idx="15">
                  <c:v>0.21055744511231533</c:v>
                </c:pt>
                <c:pt idx="16">
                  <c:v>0.18394433096242907</c:v>
                </c:pt>
                <c:pt idx="17">
                  <c:v>0.16029979587649287</c:v>
                </c:pt>
                <c:pt idx="18">
                  <c:v>0.1393655584227167</c:v>
                </c:pt>
                <c:pt idx="19">
                  <c:v>0.12089120686280393</c:v>
                </c:pt>
                <c:pt idx="20">
                  <c:v>0.10463762042817988</c:v>
                </c:pt>
                <c:pt idx="21">
                  <c:v>9.0379264746058577E-2</c:v>
                </c:pt>
                <c:pt idx="22">
                  <c:v>7.7905603082796981E-2</c:v>
                </c:pt>
                <c:pt idx="23">
                  <c:v>6.7021820045293973E-2</c:v>
                </c:pt>
                <c:pt idx="24">
                  <c:v>5.7549017905794954E-2</c:v>
                </c:pt>
                <c:pt idx="25">
                  <c:v>4.9324015796829893E-2</c:v>
                </c:pt>
                <c:pt idx="26">
                  <c:v>4.2198857288809753E-2</c:v>
                </c:pt>
                <c:pt idx="27">
                  <c:v>3.6040111327846298E-2</c:v>
                </c:pt>
                <c:pt idx="28">
                  <c:v>3.0728034438831583E-2</c:v>
                </c:pt>
                <c:pt idx="29">
                  <c:v>2.6155647916720263E-2</c:v>
                </c:pt>
                <c:pt idx="30">
                  <c:v>2.2227771978947319E-2</c:v>
                </c:pt>
                <c:pt idx="31">
                  <c:v>1.8860049157221115E-2</c:v>
                </c:pt>
              </c:numCache>
            </c:numRef>
          </c:val>
          <c:smooth val="0"/>
        </c:ser>
        <c:dLbls>
          <c:showLegendKey val="0"/>
          <c:showVal val="0"/>
          <c:showCatName val="0"/>
          <c:showSerName val="0"/>
          <c:showPercent val="0"/>
          <c:showBubbleSize val="0"/>
        </c:dLbls>
        <c:marker val="1"/>
        <c:smooth val="0"/>
        <c:axId val="119634944"/>
        <c:axId val="119661312"/>
      </c:lineChart>
      <c:catAx>
        <c:axId val="119634944"/>
        <c:scaling>
          <c:orientation val="minMax"/>
        </c:scaling>
        <c:delete val="0"/>
        <c:axPos val="b"/>
        <c:numFmt formatCode="General" sourceLinked="1"/>
        <c:majorTickMark val="out"/>
        <c:minorTickMark val="none"/>
        <c:tickLblPos val="nextTo"/>
        <c:crossAx val="119661312"/>
        <c:crosses val="autoZero"/>
        <c:auto val="1"/>
        <c:lblAlgn val="ctr"/>
        <c:lblOffset val="100"/>
        <c:noMultiLvlLbl val="0"/>
      </c:catAx>
      <c:valAx>
        <c:axId val="119661312"/>
        <c:scaling>
          <c:orientation val="minMax"/>
        </c:scaling>
        <c:delete val="0"/>
        <c:axPos val="l"/>
        <c:majorGridlines/>
        <c:numFmt formatCode="General" sourceLinked="1"/>
        <c:majorTickMark val="out"/>
        <c:minorTickMark val="none"/>
        <c:tickLblPos val="nextTo"/>
        <c:crossAx val="119634944"/>
        <c:crosses val="autoZero"/>
        <c:crossBetween val="between"/>
      </c:valAx>
    </c:plotArea>
    <c:plotVisOnly val="1"/>
    <c:dispBlanksAs val="gap"/>
    <c:showDLblsOverMax val="0"/>
  </c:chart>
  <c:printSettings>
    <c:headerFooter/>
    <c:pageMargins b="0.75" l="0.7" r="0.7" t="0.75" header="0.3" footer="0.3"/>
    <c:pageSetup/>
  </c:printSettings>
  <c:userShapes r:id="rId1"/>
</c:chartSpace>
</file>

<file path=xl/charts/chart125.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marker>
            <c:symbol val="none"/>
          </c:marker>
          <c:cat>
            <c:numRef>
              <c:f>'Incinerador 2 - Total - Weibull'!$AZ$6:$AZ$37</c:f>
              <c:numCache>
                <c:formatCode>General</c:formatCode>
                <c:ptCount val="32"/>
                <c:pt idx="0">
                  <c:v>0</c:v>
                </c:pt>
                <c:pt idx="1">
                  <c:v>10</c:v>
                </c:pt>
                <c:pt idx="2">
                  <c:v>20</c:v>
                </c:pt>
                <c:pt idx="3">
                  <c:v>30</c:v>
                </c:pt>
                <c:pt idx="4">
                  <c:v>40</c:v>
                </c:pt>
                <c:pt idx="5">
                  <c:v>50</c:v>
                </c:pt>
                <c:pt idx="6">
                  <c:v>60</c:v>
                </c:pt>
                <c:pt idx="7">
                  <c:v>70</c:v>
                </c:pt>
                <c:pt idx="8">
                  <c:v>80</c:v>
                </c:pt>
                <c:pt idx="9">
                  <c:v>90</c:v>
                </c:pt>
                <c:pt idx="10">
                  <c:v>100</c:v>
                </c:pt>
                <c:pt idx="11">
                  <c:v>110</c:v>
                </c:pt>
                <c:pt idx="12">
                  <c:v>120</c:v>
                </c:pt>
                <c:pt idx="13">
                  <c:v>130</c:v>
                </c:pt>
                <c:pt idx="14">
                  <c:v>140</c:v>
                </c:pt>
                <c:pt idx="15">
                  <c:v>150</c:v>
                </c:pt>
                <c:pt idx="16">
                  <c:v>160</c:v>
                </c:pt>
                <c:pt idx="17">
                  <c:v>170</c:v>
                </c:pt>
                <c:pt idx="18">
                  <c:v>180</c:v>
                </c:pt>
                <c:pt idx="19">
                  <c:v>190</c:v>
                </c:pt>
                <c:pt idx="20">
                  <c:v>200</c:v>
                </c:pt>
                <c:pt idx="21">
                  <c:v>210</c:v>
                </c:pt>
                <c:pt idx="22">
                  <c:v>220</c:v>
                </c:pt>
                <c:pt idx="23">
                  <c:v>230</c:v>
                </c:pt>
                <c:pt idx="24">
                  <c:v>240</c:v>
                </c:pt>
                <c:pt idx="25">
                  <c:v>250</c:v>
                </c:pt>
                <c:pt idx="26">
                  <c:v>260</c:v>
                </c:pt>
                <c:pt idx="27">
                  <c:v>270</c:v>
                </c:pt>
                <c:pt idx="28">
                  <c:v>280</c:v>
                </c:pt>
                <c:pt idx="29">
                  <c:v>290</c:v>
                </c:pt>
                <c:pt idx="30">
                  <c:v>300</c:v>
                </c:pt>
                <c:pt idx="31">
                  <c:v>310</c:v>
                </c:pt>
              </c:numCache>
            </c:numRef>
          </c:cat>
          <c:val>
            <c:numRef>
              <c:f>'Incinerador 2 - Total - Weibull'!$BA$6:$BA$37</c:f>
              <c:numCache>
                <c:formatCode>0,000,000</c:formatCode>
                <c:ptCount val="32"/>
                <c:pt idx="0" formatCode="General">
                  <c:v>1</c:v>
                </c:pt>
                <c:pt idx="1">
                  <c:v>0.88197986435800391</c:v>
                </c:pt>
                <c:pt idx="2">
                  <c:v>0.82930776881694979</c:v>
                </c:pt>
                <c:pt idx="3">
                  <c:v>0.78949169993516344</c:v>
                </c:pt>
                <c:pt idx="4">
                  <c:v>0.75658911197338552</c:v>
                </c:pt>
                <c:pt idx="5">
                  <c:v>0.72820971965486303</c:v>
                </c:pt>
                <c:pt idx="6">
                  <c:v>0.70309594351178428</c:v>
                </c:pt>
                <c:pt idx="7">
                  <c:v>0.68048604539440938</c:v>
                </c:pt>
                <c:pt idx="8">
                  <c:v>0.65987587425146421</c:v>
                </c:pt>
                <c:pt idx="9">
                  <c:v>0.64091065570795402</c:v>
                </c:pt>
                <c:pt idx="10">
                  <c:v>0.62332921031262556</c:v>
                </c:pt>
                <c:pt idx="11">
                  <c:v>0.60693248377734976</c:v>
                </c:pt>
                <c:pt idx="12">
                  <c:v>0.59156454544421522</c:v>
                </c:pt>
                <c:pt idx="13">
                  <c:v>0.5771004889413508</c:v>
                </c:pt>
                <c:pt idx="14">
                  <c:v>0.56343839098801085</c:v>
                </c:pt>
                <c:pt idx="15">
                  <c:v>0.55049377551605472</c:v>
                </c:pt>
                <c:pt idx="16">
                  <c:v>0.53819568822446762</c:v>
                </c:pt>
                <c:pt idx="17">
                  <c:v>0.52648384216679267</c:v>
                </c:pt>
                <c:pt idx="18">
                  <c:v>0.51530649665725026</c:v>
                </c:pt>
                <c:pt idx="19">
                  <c:v>0.50461885105609228</c:v>
                </c:pt>
                <c:pt idx="20">
                  <c:v>0.49438180809499438</c:v>
                </c:pt>
                <c:pt idx="21">
                  <c:v>0.48456100761703547</c:v>
                </c:pt>
                <c:pt idx="22">
                  <c:v>0.47512606162962645</c:v>
                </c:pt>
                <c:pt idx="23">
                  <c:v>0.46604994155125995</c:v>
                </c:pt>
                <c:pt idx="24">
                  <c:v>0.45730848212212627</c:v>
                </c:pt>
                <c:pt idx="25">
                  <c:v>0.4488799758705832</c:v>
                </c:pt>
                <c:pt idx="26">
                  <c:v>0.44074483867526271</c:v>
                </c:pt>
                <c:pt idx="27">
                  <c:v>0.43288533172805616</c:v>
                </c:pt>
                <c:pt idx="28">
                  <c:v>0.42528532866912039</c:v>
                </c:pt>
                <c:pt idx="29">
                  <c:v>0.41793011921939077</c:v>
                </c:pt>
                <c:pt idx="30">
                  <c:v>0.41080624254170683</c:v>
                </c:pt>
                <c:pt idx="31">
                  <c:v>0.40390134499935448</c:v>
                </c:pt>
              </c:numCache>
            </c:numRef>
          </c:val>
          <c:smooth val="0"/>
        </c:ser>
        <c:dLbls>
          <c:showLegendKey val="0"/>
          <c:showVal val="0"/>
          <c:showCatName val="0"/>
          <c:showSerName val="0"/>
          <c:showPercent val="0"/>
          <c:showBubbleSize val="0"/>
        </c:dLbls>
        <c:marker val="1"/>
        <c:smooth val="0"/>
        <c:axId val="119693312"/>
        <c:axId val="119694848"/>
      </c:lineChart>
      <c:catAx>
        <c:axId val="119693312"/>
        <c:scaling>
          <c:orientation val="minMax"/>
        </c:scaling>
        <c:delete val="0"/>
        <c:axPos val="b"/>
        <c:numFmt formatCode="General" sourceLinked="1"/>
        <c:majorTickMark val="out"/>
        <c:minorTickMark val="none"/>
        <c:tickLblPos val="nextTo"/>
        <c:crossAx val="119694848"/>
        <c:crosses val="autoZero"/>
        <c:auto val="1"/>
        <c:lblAlgn val="ctr"/>
        <c:lblOffset val="100"/>
        <c:noMultiLvlLbl val="0"/>
      </c:catAx>
      <c:valAx>
        <c:axId val="119694848"/>
        <c:scaling>
          <c:orientation val="minMax"/>
        </c:scaling>
        <c:delete val="0"/>
        <c:axPos val="l"/>
        <c:majorGridlines/>
        <c:numFmt formatCode="General" sourceLinked="1"/>
        <c:majorTickMark val="out"/>
        <c:minorTickMark val="none"/>
        <c:tickLblPos val="nextTo"/>
        <c:crossAx val="119693312"/>
        <c:crosses val="autoZero"/>
        <c:crossBetween val="between"/>
      </c:valAx>
    </c:plotArea>
    <c:plotVisOnly val="1"/>
    <c:dispBlanksAs val="gap"/>
    <c:showDLblsOverMax val="0"/>
  </c:chart>
  <c:printSettings>
    <c:headerFooter/>
    <c:pageMargins b="0.75" l="0.7" r="0.7" t="0.75" header="0.3" footer="0.3"/>
    <c:pageSetup/>
  </c:printSettings>
  <c:userShapes r:id="rId1"/>
</c:chartSpace>
</file>

<file path=xl/charts/chart126.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marker>
            <c:symbol val="none"/>
          </c:marker>
          <c:cat>
            <c:numRef>
              <c:f>'Incinerador 2 - Total - Weibull'!$AZ$6:$AZ$37</c:f>
              <c:numCache>
                <c:formatCode>General</c:formatCode>
                <c:ptCount val="32"/>
                <c:pt idx="0">
                  <c:v>0</c:v>
                </c:pt>
                <c:pt idx="1">
                  <c:v>10</c:v>
                </c:pt>
                <c:pt idx="2">
                  <c:v>20</c:v>
                </c:pt>
                <c:pt idx="3">
                  <c:v>30</c:v>
                </c:pt>
                <c:pt idx="4">
                  <c:v>40</c:v>
                </c:pt>
                <c:pt idx="5">
                  <c:v>50</c:v>
                </c:pt>
                <c:pt idx="6">
                  <c:v>60</c:v>
                </c:pt>
                <c:pt idx="7">
                  <c:v>70</c:v>
                </c:pt>
                <c:pt idx="8">
                  <c:v>80</c:v>
                </c:pt>
                <c:pt idx="9">
                  <c:v>90</c:v>
                </c:pt>
                <c:pt idx="10">
                  <c:v>100</c:v>
                </c:pt>
                <c:pt idx="11">
                  <c:v>110</c:v>
                </c:pt>
                <c:pt idx="12">
                  <c:v>120</c:v>
                </c:pt>
                <c:pt idx="13">
                  <c:v>130</c:v>
                </c:pt>
                <c:pt idx="14">
                  <c:v>140</c:v>
                </c:pt>
                <c:pt idx="15">
                  <c:v>150</c:v>
                </c:pt>
                <c:pt idx="16">
                  <c:v>160</c:v>
                </c:pt>
                <c:pt idx="17">
                  <c:v>170</c:v>
                </c:pt>
                <c:pt idx="18">
                  <c:v>180</c:v>
                </c:pt>
                <c:pt idx="19">
                  <c:v>190</c:v>
                </c:pt>
                <c:pt idx="20">
                  <c:v>200</c:v>
                </c:pt>
                <c:pt idx="21">
                  <c:v>210</c:v>
                </c:pt>
                <c:pt idx="22">
                  <c:v>220</c:v>
                </c:pt>
                <c:pt idx="23">
                  <c:v>230</c:v>
                </c:pt>
                <c:pt idx="24">
                  <c:v>240</c:v>
                </c:pt>
                <c:pt idx="25">
                  <c:v>250</c:v>
                </c:pt>
                <c:pt idx="26">
                  <c:v>260</c:v>
                </c:pt>
                <c:pt idx="27">
                  <c:v>270</c:v>
                </c:pt>
                <c:pt idx="28">
                  <c:v>280</c:v>
                </c:pt>
                <c:pt idx="29">
                  <c:v>290</c:v>
                </c:pt>
                <c:pt idx="30">
                  <c:v>300</c:v>
                </c:pt>
                <c:pt idx="31">
                  <c:v>310</c:v>
                </c:pt>
              </c:numCache>
            </c:numRef>
          </c:cat>
          <c:val>
            <c:numRef>
              <c:f>'Incinerador 2 - Total - Weibull'!$CC$6:$CC$37</c:f>
              <c:numCache>
                <c:formatCode>0,000,000</c:formatCode>
                <c:ptCount val="32"/>
                <c:pt idx="0" formatCode="General">
                  <c:v>1</c:v>
                </c:pt>
                <c:pt idx="1">
                  <c:v>0.84870520987746656</c:v>
                </c:pt>
                <c:pt idx="2">
                  <c:v>0.78460225302293907</c:v>
                </c:pt>
                <c:pt idx="3">
                  <c:v>0.73715779673646864</c:v>
                </c:pt>
                <c:pt idx="4">
                  <c:v>0.69857576416050471</c:v>
                </c:pt>
                <c:pt idx="5">
                  <c:v>0.6657411735382347</c:v>
                </c:pt>
                <c:pt idx="6">
                  <c:v>0.63702379135651777</c:v>
                </c:pt>
                <c:pt idx="7">
                  <c:v>0.61144071658952437</c:v>
                </c:pt>
                <c:pt idx="8">
                  <c:v>0.58834417875511702</c:v>
                </c:pt>
                <c:pt idx="9">
                  <c:v>0.56728015147853939</c:v>
                </c:pt>
                <c:pt idx="10">
                  <c:v>0.54791565523045804</c:v>
                </c:pt>
                <c:pt idx="11">
                  <c:v>0.52999784047495901</c:v>
                </c:pt>
                <c:pt idx="12">
                  <c:v>0.51332933586703799</c:v>
                </c:pt>
                <c:pt idx="13">
                  <c:v>0.49775258346685669</c:v>
                </c:pt>
                <c:pt idx="14">
                  <c:v>0.48313944849741663</c:v>
                </c:pt>
                <c:pt idx="15">
                  <c:v>0.46938407987557568</c:v>
                </c:pt>
                <c:pt idx="16">
                  <c:v>0.45639785698854118</c:v>
                </c:pt>
                <c:pt idx="17">
                  <c:v>0.44410572178958307</c:v>
                </c:pt>
                <c:pt idx="18">
                  <c:v>0.43244345797115391</c:v>
                </c:pt>
                <c:pt idx="19">
                  <c:v>0.42135563412843535</c:v>
                </c:pt>
                <c:pt idx="20">
                  <c:v>0.41079402280244653</c:v>
                </c:pt>
                <c:pt idx="21">
                  <c:v>0.40071636726588067</c:v>
                </c:pt>
                <c:pt idx="22">
                  <c:v>0.39108540683456033</c:v>
                </c:pt>
                <c:pt idx="23">
                  <c:v>0.38186809736232158</c:v>
                </c:pt>
                <c:pt idx="24">
                  <c:v>0.3730349811547039</c:v>
                </c:pt>
                <c:pt idx="25">
                  <c:v>0.36455967271137674</c:v>
                </c:pt>
                <c:pt idx="26">
                  <c:v>0.35641843528839706</c:v>
                </c:pt>
                <c:pt idx="27">
                  <c:v>0.34858982941661804</c:v>
                </c:pt>
                <c:pt idx="28">
                  <c:v>0.34105441897754685</c:v>
                </c:pt>
                <c:pt idx="29">
                  <c:v>0.33379452372542845</c:v>
                </c:pt>
                <c:pt idx="30">
                  <c:v>0.32679400959452382</c:v>
                </c:pt>
                <c:pt idx="31">
                  <c:v>0.32003810997737347</c:v>
                </c:pt>
              </c:numCache>
            </c:numRef>
          </c:val>
          <c:smooth val="0"/>
        </c:ser>
        <c:dLbls>
          <c:showLegendKey val="0"/>
          <c:showVal val="0"/>
          <c:showCatName val="0"/>
          <c:showSerName val="0"/>
          <c:showPercent val="0"/>
          <c:showBubbleSize val="0"/>
        </c:dLbls>
        <c:marker val="1"/>
        <c:smooth val="0"/>
        <c:axId val="119723136"/>
        <c:axId val="119724672"/>
      </c:lineChart>
      <c:catAx>
        <c:axId val="119723136"/>
        <c:scaling>
          <c:orientation val="minMax"/>
        </c:scaling>
        <c:delete val="0"/>
        <c:axPos val="b"/>
        <c:numFmt formatCode="General" sourceLinked="1"/>
        <c:majorTickMark val="out"/>
        <c:minorTickMark val="none"/>
        <c:tickLblPos val="nextTo"/>
        <c:crossAx val="119724672"/>
        <c:crosses val="autoZero"/>
        <c:auto val="1"/>
        <c:lblAlgn val="ctr"/>
        <c:lblOffset val="100"/>
        <c:noMultiLvlLbl val="0"/>
      </c:catAx>
      <c:valAx>
        <c:axId val="119724672"/>
        <c:scaling>
          <c:orientation val="minMax"/>
        </c:scaling>
        <c:delete val="0"/>
        <c:axPos val="l"/>
        <c:majorGridlines/>
        <c:numFmt formatCode="General" sourceLinked="1"/>
        <c:majorTickMark val="out"/>
        <c:minorTickMark val="none"/>
        <c:tickLblPos val="nextTo"/>
        <c:crossAx val="119723136"/>
        <c:crosses val="autoZero"/>
        <c:crossBetween val="between"/>
      </c:valAx>
    </c:plotArea>
    <c:plotVisOnly val="1"/>
    <c:dispBlanksAs val="gap"/>
    <c:showDLblsOverMax val="0"/>
  </c:chart>
  <c:printSettings>
    <c:headerFooter/>
    <c:pageMargins b="0.75" l="0.7" r="0.7" t="0.75" header="0.3" footer="0.3"/>
    <c:pageSetup/>
  </c:printSettings>
  <c:userShapes r:id="rId1"/>
</c:chartSpace>
</file>

<file path=xl/charts/chart127.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pt-PT"/>
              <a:t>Forno</a:t>
            </a:r>
            <a:r>
              <a:rPr lang="pt-PT" baseline="0"/>
              <a:t> 2 - Electrofiltro</a:t>
            </a:r>
            <a:endParaRPr lang="pt-PT"/>
          </a:p>
        </c:rich>
      </c:tx>
      <c:layout/>
      <c:overlay val="0"/>
    </c:title>
    <c:autoTitleDeleted val="0"/>
    <c:plotArea>
      <c:layout/>
      <c:lineChart>
        <c:grouping val="standard"/>
        <c:varyColors val="0"/>
        <c:ser>
          <c:idx val="0"/>
          <c:order val="0"/>
          <c:marker>
            <c:symbol val="none"/>
          </c:marker>
          <c:cat>
            <c:numRef>
              <c:f>'Incinera 2 - Familias - Weibull'!$N$7:$N$10</c:f>
              <c:numCache>
                <c:formatCode>General</c:formatCode>
                <c:ptCount val="4"/>
                <c:pt idx="0">
                  <c:v>14</c:v>
                </c:pt>
                <c:pt idx="1">
                  <c:v>110</c:v>
                </c:pt>
                <c:pt idx="2">
                  <c:v>492</c:v>
                </c:pt>
                <c:pt idx="3">
                  <c:v>804</c:v>
                </c:pt>
              </c:numCache>
            </c:numRef>
          </c:cat>
          <c:val>
            <c:numRef>
              <c:f>'Incinera 2 - Familias - Weibull'!$P$7:$P$10</c:f>
              <c:numCache>
                <c:formatCode>0,000,000</c:formatCode>
                <c:ptCount val="4"/>
                <c:pt idx="0">
                  <c:v>0.8529411764705882</c:v>
                </c:pt>
                <c:pt idx="1">
                  <c:v>0.61764705882352944</c:v>
                </c:pt>
                <c:pt idx="2">
                  <c:v>0.38235294117647056</c:v>
                </c:pt>
                <c:pt idx="3">
                  <c:v>0.14705882352941177</c:v>
                </c:pt>
              </c:numCache>
            </c:numRef>
          </c:val>
          <c:smooth val="0"/>
        </c:ser>
        <c:dLbls>
          <c:showLegendKey val="0"/>
          <c:showVal val="0"/>
          <c:showCatName val="0"/>
          <c:showSerName val="0"/>
          <c:showPercent val="0"/>
          <c:showBubbleSize val="0"/>
        </c:dLbls>
        <c:marker val="1"/>
        <c:smooth val="0"/>
        <c:axId val="119860224"/>
        <c:axId val="119079680"/>
      </c:lineChart>
      <c:catAx>
        <c:axId val="119860224"/>
        <c:scaling>
          <c:orientation val="minMax"/>
        </c:scaling>
        <c:delete val="0"/>
        <c:axPos val="b"/>
        <c:numFmt formatCode="General" sourceLinked="1"/>
        <c:majorTickMark val="out"/>
        <c:minorTickMark val="none"/>
        <c:tickLblPos val="nextTo"/>
        <c:crossAx val="119079680"/>
        <c:crosses val="autoZero"/>
        <c:auto val="1"/>
        <c:lblAlgn val="ctr"/>
        <c:lblOffset val="100"/>
        <c:noMultiLvlLbl val="0"/>
      </c:catAx>
      <c:valAx>
        <c:axId val="119079680"/>
        <c:scaling>
          <c:orientation val="minMax"/>
          <c:max val="1"/>
        </c:scaling>
        <c:delete val="0"/>
        <c:axPos val="l"/>
        <c:majorGridlines/>
        <c:numFmt formatCode="0,000,000" sourceLinked="1"/>
        <c:majorTickMark val="out"/>
        <c:minorTickMark val="none"/>
        <c:tickLblPos val="nextTo"/>
        <c:crossAx val="119860224"/>
        <c:crosses val="autoZero"/>
        <c:crossBetween val="between"/>
      </c:valAx>
    </c:plotArea>
    <c:legend>
      <c:legendPos val="r"/>
      <c:layout/>
      <c:overlay val="0"/>
    </c:legend>
    <c:plotVisOnly val="1"/>
    <c:dispBlanksAs val="gap"/>
    <c:showDLblsOverMax val="0"/>
  </c:chart>
  <c:printSettings>
    <c:headerFooter/>
    <c:pageMargins b="0.75" l="0.7" r="0.7" t="0.75" header="0.3" footer="0.3"/>
    <c:pageSetup/>
  </c:printSettings>
</c:chartSpace>
</file>

<file path=xl/charts/chart128.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pt-PT"/>
              <a:t>Forno</a:t>
            </a:r>
            <a:r>
              <a:rPr lang="pt-PT" baseline="0"/>
              <a:t> 2 - Câmara de Fumos</a:t>
            </a:r>
            <a:endParaRPr lang="pt-PT"/>
          </a:p>
        </c:rich>
      </c:tx>
      <c:layout/>
      <c:overlay val="0"/>
    </c:title>
    <c:autoTitleDeleted val="0"/>
    <c:plotArea>
      <c:layout/>
      <c:lineChart>
        <c:grouping val="standard"/>
        <c:varyColors val="0"/>
        <c:ser>
          <c:idx val="0"/>
          <c:order val="0"/>
          <c:marker>
            <c:symbol val="none"/>
          </c:marker>
          <c:cat>
            <c:numRef>
              <c:f>'Incinera 2 - Familias - Weibull'!$K$7:$K$34</c:f>
              <c:numCache>
                <c:formatCode>General</c:formatCode>
                <c:ptCount val="28"/>
                <c:pt idx="0">
                  <c:v>1</c:v>
                </c:pt>
                <c:pt idx="1">
                  <c:v>2</c:v>
                </c:pt>
                <c:pt idx="2">
                  <c:v>2</c:v>
                </c:pt>
                <c:pt idx="3">
                  <c:v>4</c:v>
                </c:pt>
                <c:pt idx="4">
                  <c:v>7</c:v>
                </c:pt>
                <c:pt idx="5">
                  <c:v>7</c:v>
                </c:pt>
                <c:pt idx="6">
                  <c:v>9</c:v>
                </c:pt>
                <c:pt idx="7">
                  <c:v>10</c:v>
                </c:pt>
                <c:pt idx="8">
                  <c:v>16</c:v>
                </c:pt>
                <c:pt idx="9">
                  <c:v>23</c:v>
                </c:pt>
                <c:pt idx="10">
                  <c:v>26</c:v>
                </c:pt>
                <c:pt idx="11">
                  <c:v>27</c:v>
                </c:pt>
                <c:pt idx="12">
                  <c:v>32</c:v>
                </c:pt>
                <c:pt idx="13">
                  <c:v>36</c:v>
                </c:pt>
                <c:pt idx="14">
                  <c:v>56</c:v>
                </c:pt>
                <c:pt idx="15">
                  <c:v>74</c:v>
                </c:pt>
                <c:pt idx="16">
                  <c:v>74</c:v>
                </c:pt>
                <c:pt idx="17">
                  <c:v>101</c:v>
                </c:pt>
                <c:pt idx="18">
                  <c:v>110</c:v>
                </c:pt>
                <c:pt idx="19">
                  <c:v>111</c:v>
                </c:pt>
                <c:pt idx="20">
                  <c:v>119</c:v>
                </c:pt>
                <c:pt idx="21">
                  <c:v>120</c:v>
                </c:pt>
                <c:pt idx="22">
                  <c:v>132</c:v>
                </c:pt>
                <c:pt idx="23">
                  <c:v>137</c:v>
                </c:pt>
                <c:pt idx="24">
                  <c:v>141</c:v>
                </c:pt>
                <c:pt idx="25">
                  <c:v>194</c:v>
                </c:pt>
                <c:pt idx="26">
                  <c:v>228</c:v>
                </c:pt>
                <c:pt idx="27">
                  <c:v>249</c:v>
                </c:pt>
              </c:numCache>
            </c:numRef>
          </c:cat>
          <c:val>
            <c:numRef>
              <c:f>'Incinera 2 - Familias - Weibull'!$M$7:$M$34</c:f>
              <c:numCache>
                <c:formatCode>0,000,000</c:formatCode>
                <c:ptCount val="28"/>
                <c:pt idx="0">
                  <c:v>0.97787610619469023</c:v>
                </c:pt>
                <c:pt idx="1">
                  <c:v>0.94247787610619471</c:v>
                </c:pt>
                <c:pt idx="2">
                  <c:v>0.90707964601769908</c:v>
                </c:pt>
                <c:pt idx="3">
                  <c:v>0.87168141592920356</c:v>
                </c:pt>
                <c:pt idx="4">
                  <c:v>0.83628318584070793</c:v>
                </c:pt>
                <c:pt idx="5">
                  <c:v>0.80088495575221241</c:v>
                </c:pt>
                <c:pt idx="6">
                  <c:v>0.76548672566371678</c:v>
                </c:pt>
                <c:pt idx="7">
                  <c:v>0.73008849557522126</c:v>
                </c:pt>
                <c:pt idx="8">
                  <c:v>0.69469026548672563</c:v>
                </c:pt>
                <c:pt idx="9">
                  <c:v>0.65929203539823011</c:v>
                </c:pt>
                <c:pt idx="10">
                  <c:v>0.62389380530973448</c:v>
                </c:pt>
                <c:pt idx="11">
                  <c:v>0.58849557522123896</c:v>
                </c:pt>
                <c:pt idx="12">
                  <c:v>0.55309734513274333</c:v>
                </c:pt>
                <c:pt idx="13">
                  <c:v>0.51769911504424782</c:v>
                </c:pt>
                <c:pt idx="14">
                  <c:v>0.48230088495575218</c:v>
                </c:pt>
                <c:pt idx="15">
                  <c:v>0.44690265486725661</c:v>
                </c:pt>
                <c:pt idx="16">
                  <c:v>0.41150442477876104</c:v>
                </c:pt>
                <c:pt idx="17">
                  <c:v>0.37610619469026546</c:v>
                </c:pt>
                <c:pt idx="18">
                  <c:v>0.34070796460176989</c:v>
                </c:pt>
                <c:pt idx="19">
                  <c:v>0.30530973451327431</c:v>
                </c:pt>
                <c:pt idx="20">
                  <c:v>0.26991150442477874</c:v>
                </c:pt>
                <c:pt idx="21">
                  <c:v>0.23451327433628319</c:v>
                </c:pt>
                <c:pt idx="22">
                  <c:v>0.19911504424778761</c:v>
                </c:pt>
                <c:pt idx="23">
                  <c:v>0.16371681415929204</c:v>
                </c:pt>
                <c:pt idx="24">
                  <c:v>0.12831858407079647</c:v>
                </c:pt>
                <c:pt idx="25">
                  <c:v>9.2920353982300891E-2</c:v>
                </c:pt>
                <c:pt idx="26">
                  <c:v>5.7522123893805309E-2</c:v>
                </c:pt>
                <c:pt idx="27">
                  <c:v>2.2123893805309734E-2</c:v>
                </c:pt>
              </c:numCache>
            </c:numRef>
          </c:val>
          <c:smooth val="0"/>
        </c:ser>
        <c:dLbls>
          <c:showLegendKey val="0"/>
          <c:showVal val="0"/>
          <c:showCatName val="0"/>
          <c:showSerName val="0"/>
          <c:showPercent val="0"/>
          <c:showBubbleSize val="0"/>
        </c:dLbls>
        <c:marker val="1"/>
        <c:smooth val="0"/>
        <c:axId val="119137024"/>
        <c:axId val="119138560"/>
      </c:lineChart>
      <c:catAx>
        <c:axId val="119137024"/>
        <c:scaling>
          <c:orientation val="minMax"/>
        </c:scaling>
        <c:delete val="0"/>
        <c:axPos val="b"/>
        <c:numFmt formatCode="General" sourceLinked="1"/>
        <c:majorTickMark val="out"/>
        <c:minorTickMark val="none"/>
        <c:tickLblPos val="nextTo"/>
        <c:crossAx val="119138560"/>
        <c:crosses val="autoZero"/>
        <c:auto val="1"/>
        <c:lblAlgn val="ctr"/>
        <c:lblOffset val="100"/>
        <c:noMultiLvlLbl val="0"/>
      </c:catAx>
      <c:valAx>
        <c:axId val="119138560"/>
        <c:scaling>
          <c:orientation val="minMax"/>
          <c:max val="1"/>
        </c:scaling>
        <c:delete val="0"/>
        <c:axPos val="l"/>
        <c:majorGridlines/>
        <c:numFmt formatCode="0,000,000" sourceLinked="1"/>
        <c:majorTickMark val="out"/>
        <c:minorTickMark val="none"/>
        <c:tickLblPos val="nextTo"/>
        <c:crossAx val="119137024"/>
        <c:crosses val="autoZero"/>
        <c:crossBetween val="between"/>
      </c:valAx>
    </c:plotArea>
    <c:legend>
      <c:legendPos val="r"/>
      <c:layout/>
      <c:overlay val="0"/>
    </c:legend>
    <c:plotVisOnly val="1"/>
    <c:dispBlanksAs val="gap"/>
    <c:showDLblsOverMax val="0"/>
  </c:chart>
  <c:printSettings>
    <c:headerFooter/>
    <c:pageMargins b="0.75" l="0.7" r="0.7" t="0.75" header="0.3" footer="0.3"/>
    <c:pageSetup/>
  </c:printSettings>
</c:chartSpace>
</file>

<file path=xl/charts/chart129.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pt-PT"/>
              <a:t>Forno</a:t>
            </a:r>
            <a:r>
              <a:rPr lang="pt-PT" baseline="0"/>
              <a:t> 2 - Chaminé</a:t>
            </a:r>
            <a:endParaRPr lang="pt-PT"/>
          </a:p>
        </c:rich>
      </c:tx>
      <c:layout/>
      <c:overlay val="0"/>
    </c:title>
    <c:autoTitleDeleted val="0"/>
    <c:plotArea>
      <c:layout/>
      <c:lineChart>
        <c:grouping val="standard"/>
        <c:varyColors val="0"/>
        <c:ser>
          <c:idx val="0"/>
          <c:order val="0"/>
          <c:marker>
            <c:symbol val="none"/>
          </c:marker>
          <c:cat>
            <c:numRef>
              <c:f>'Incinera 2 - Familias - Weibull'!$Q$7:$Q$12</c:f>
              <c:numCache>
                <c:formatCode>General</c:formatCode>
                <c:ptCount val="6"/>
                <c:pt idx="0">
                  <c:v>4</c:v>
                </c:pt>
                <c:pt idx="1">
                  <c:v>28</c:v>
                </c:pt>
                <c:pt idx="2">
                  <c:v>113</c:v>
                </c:pt>
                <c:pt idx="3">
                  <c:v>314</c:v>
                </c:pt>
                <c:pt idx="4">
                  <c:v>414</c:v>
                </c:pt>
                <c:pt idx="5">
                  <c:v>587</c:v>
                </c:pt>
              </c:numCache>
            </c:numRef>
          </c:cat>
          <c:val>
            <c:numRef>
              <c:f>'Incinera 2 - Familias - Weibull'!$S$7:$S$12</c:f>
              <c:numCache>
                <c:formatCode>0,000,000</c:formatCode>
                <c:ptCount val="6"/>
                <c:pt idx="0">
                  <c:v>0.9</c:v>
                </c:pt>
                <c:pt idx="1">
                  <c:v>0.74</c:v>
                </c:pt>
                <c:pt idx="2">
                  <c:v>0.57999999999999996</c:v>
                </c:pt>
                <c:pt idx="3">
                  <c:v>0.42</c:v>
                </c:pt>
                <c:pt idx="4">
                  <c:v>0.26</c:v>
                </c:pt>
                <c:pt idx="5">
                  <c:v>0.1</c:v>
                </c:pt>
              </c:numCache>
            </c:numRef>
          </c:val>
          <c:smooth val="0"/>
        </c:ser>
        <c:dLbls>
          <c:showLegendKey val="0"/>
          <c:showVal val="0"/>
          <c:showCatName val="0"/>
          <c:showSerName val="0"/>
          <c:showPercent val="0"/>
          <c:showBubbleSize val="0"/>
        </c:dLbls>
        <c:marker val="1"/>
        <c:smooth val="0"/>
        <c:axId val="119146752"/>
        <c:axId val="119156736"/>
      </c:lineChart>
      <c:catAx>
        <c:axId val="119146752"/>
        <c:scaling>
          <c:orientation val="minMax"/>
        </c:scaling>
        <c:delete val="0"/>
        <c:axPos val="b"/>
        <c:numFmt formatCode="General" sourceLinked="1"/>
        <c:majorTickMark val="out"/>
        <c:minorTickMark val="none"/>
        <c:tickLblPos val="nextTo"/>
        <c:crossAx val="119156736"/>
        <c:crosses val="autoZero"/>
        <c:auto val="1"/>
        <c:lblAlgn val="ctr"/>
        <c:lblOffset val="100"/>
        <c:noMultiLvlLbl val="0"/>
      </c:catAx>
      <c:valAx>
        <c:axId val="119156736"/>
        <c:scaling>
          <c:orientation val="minMax"/>
          <c:max val="1"/>
        </c:scaling>
        <c:delete val="0"/>
        <c:axPos val="l"/>
        <c:majorGridlines/>
        <c:numFmt formatCode="0,000,000" sourceLinked="1"/>
        <c:majorTickMark val="out"/>
        <c:minorTickMark val="none"/>
        <c:tickLblPos val="nextTo"/>
        <c:crossAx val="119146752"/>
        <c:crosses val="autoZero"/>
        <c:crossBetween val="between"/>
      </c:valAx>
    </c:plotArea>
    <c:legend>
      <c:legendPos val="r"/>
      <c:layout/>
      <c:overlay val="0"/>
    </c:legend>
    <c:plotVisOnly val="1"/>
    <c:dispBlanksAs val="gap"/>
    <c:showDLblsOverMax val="0"/>
  </c:chart>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42"/>
    </mc:Choice>
    <mc:Fallback>
      <c:style val="42"/>
    </mc:Fallback>
  </mc:AlternateContent>
  <c:chart>
    <c:title>
      <c:tx>
        <c:rich>
          <a:bodyPr/>
          <a:lstStyle/>
          <a:p>
            <a:pPr>
              <a:defRPr/>
            </a:pPr>
            <a:r>
              <a:rPr lang="en-US"/>
              <a:t>Moinho4 - Chaminé</a:t>
            </a:r>
          </a:p>
        </c:rich>
      </c:tx>
      <c:layout/>
      <c:overlay val="0"/>
    </c:title>
    <c:autoTitleDeleted val="0"/>
    <c:plotArea>
      <c:layout>
        <c:manualLayout>
          <c:layoutTarget val="inner"/>
          <c:xMode val="edge"/>
          <c:yMode val="edge"/>
          <c:x val="2.4691358024691357E-2"/>
          <c:y val="0.32444484748597435"/>
          <c:w val="0.95286195286195285"/>
          <c:h val="0.55961308824621336"/>
        </c:manualLayout>
      </c:layout>
      <c:barChart>
        <c:barDir val="bar"/>
        <c:grouping val="stacked"/>
        <c:varyColors val="0"/>
        <c:ser>
          <c:idx val="0"/>
          <c:order val="0"/>
          <c:invertIfNegative val="0"/>
          <c:dLbls>
            <c:showLegendKey val="0"/>
            <c:showVal val="1"/>
            <c:showCatName val="0"/>
            <c:showSerName val="0"/>
            <c:showPercent val="0"/>
            <c:showBubbleSize val="0"/>
            <c:showLeaderLines val="0"/>
          </c:dLbls>
          <c:val>
            <c:numRef>
              <c:f>'2015 - Ciclo de Operação'!$B$28</c:f>
              <c:numCache>
                <c:formatCode>General</c:formatCode>
                <c:ptCount val="1"/>
                <c:pt idx="0">
                  <c:v>5760</c:v>
                </c:pt>
              </c:numCache>
            </c:numRef>
          </c:val>
        </c:ser>
        <c:ser>
          <c:idx val="1"/>
          <c:order val="1"/>
          <c:invertIfNegative val="0"/>
          <c:dLbls>
            <c:dLbl>
              <c:idx val="0"/>
              <c:layout>
                <c:manualLayout>
                  <c:x val="-2.3513271575509539E-3"/>
                  <c:y val="-0.16809938199110536"/>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'2015 - Ciclo de Operação'!$I$28</c:f>
              <c:numCache>
                <c:formatCode>General</c:formatCode>
                <c:ptCount val="1"/>
                <c:pt idx="0">
                  <c:v>120</c:v>
                </c:pt>
              </c:numCache>
            </c:numRef>
          </c:val>
        </c:ser>
        <c:ser>
          <c:idx val="2"/>
          <c:order val="2"/>
          <c:invertIfNegative val="0"/>
          <c:dLbls>
            <c:showLegendKey val="0"/>
            <c:showVal val="1"/>
            <c:showCatName val="0"/>
            <c:showSerName val="0"/>
            <c:showPercent val="0"/>
            <c:showBubbleSize val="0"/>
            <c:showLeaderLines val="0"/>
          </c:dLbls>
          <c:val>
            <c:numRef>
              <c:f>'2015 - Ciclo de Operação'!$B$29</c:f>
              <c:numCache>
                <c:formatCode>General</c:formatCode>
                <c:ptCount val="1"/>
                <c:pt idx="0">
                  <c:v>2880</c:v>
                </c:pt>
              </c:numCache>
            </c:numRef>
          </c:val>
        </c:ser>
        <c:dLbls>
          <c:showLegendKey val="0"/>
          <c:showVal val="0"/>
          <c:showCatName val="0"/>
          <c:showSerName val="0"/>
          <c:showPercent val="0"/>
          <c:showBubbleSize val="0"/>
        </c:dLbls>
        <c:gapWidth val="150"/>
        <c:overlap val="100"/>
        <c:axId val="109091456"/>
        <c:axId val="109105536"/>
      </c:barChart>
      <c:catAx>
        <c:axId val="109091456"/>
        <c:scaling>
          <c:orientation val="minMax"/>
        </c:scaling>
        <c:delete val="1"/>
        <c:axPos val="l"/>
        <c:majorTickMark val="out"/>
        <c:minorTickMark val="none"/>
        <c:tickLblPos val="nextTo"/>
        <c:crossAx val="109105536"/>
        <c:crosses val="autoZero"/>
        <c:auto val="1"/>
        <c:lblAlgn val="ctr"/>
        <c:lblOffset val="100"/>
        <c:noMultiLvlLbl val="0"/>
      </c:catAx>
      <c:valAx>
        <c:axId val="109105536"/>
        <c:scaling>
          <c:orientation val="minMax"/>
        </c:scaling>
        <c:delete val="1"/>
        <c:axPos val="b"/>
        <c:numFmt formatCode="General" sourceLinked="1"/>
        <c:majorTickMark val="out"/>
        <c:minorTickMark val="none"/>
        <c:tickLblPos val="nextTo"/>
        <c:crossAx val="109091456"/>
        <c:crosses val="autoZero"/>
        <c:crossBetween val="between"/>
      </c:valAx>
      <c:spPr>
        <a:noFill/>
        <a:ln w="25400">
          <a:noFill/>
        </a:ln>
      </c:spPr>
    </c:plotArea>
    <c:plotVisOnly val="1"/>
    <c:dispBlanksAs val="gap"/>
    <c:showDLblsOverMax val="0"/>
  </c:chart>
  <c:printSettings>
    <c:headerFooter/>
    <c:pageMargins b="0.75" l="0.7" r="0.7" t="0.75" header="0.3" footer="0.3"/>
    <c:pageSetup/>
  </c:printSettings>
  <c:userShapes r:id="rId1"/>
</c:chartSpace>
</file>

<file path=xl/charts/chart130.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pt-PT"/>
              <a:t>Forno</a:t>
            </a:r>
            <a:r>
              <a:rPr lang="pt-PT" baseline="0"/>
              <a:t> 2 - Câmara de Fumos (Tipo A)</a:t>
            </a:r>
            <a:endParaRPr lang="pt-PT"/>
          </a:p>
        </c:rich>
      </c:tx>
      <c:overlay val="0"/>
    </c:title>
    <c:autoTitleDeleted val="0"/>
    <c:plotArea>
      <c:layout/>
      <c:lineChart>
        <c:grouping val="standard"/>
        <c:varyColors val="0"/>
        <c:ser>
          <c:idx val="0"/>
          <c:order val="0"/>
          <c:marker>
            <c:symbol val="none"/>
          </c:marker>
          <c:cat>
            <c:numRef>
              <c:f>'Incinera 2 - Familias - Weibull'!$AT$7:$AT$22</c:f>
              <c:numCache>
                <c:formatCode>General</c:formatCode>
                <c:ptCount val="16"/>
                <c:pt idx="0">
                  <c:v>1</c:v>
                </c:pt>
                <c:pt idx="1">
                  <c:v>2</c:v>
                </c:pt>
                <c:pt idx="2">
                  <c:v>4</c:v>
                </c:pt>
                <c:pt idx="3">
                  <c:v>10</c:v>
                </c:pt>
                <c:pt idx="4">
                  <c:v>15</c:v>
                </c:pt>
                <c:pt idx="5">
                  <c:v>36</c:v>
                </c:pt>
                <c:pt idx="6">
                  <c:v>36</c:v>
                </c:pt>
                <c:pt idx="7">
                  <c:v>59</c:v>
                </c:pt>
                <c:pt idx="8">
                  <c:v>75</c:v>
                </c:pt>
                <c:pt idx="9">
                  <c:v>79</c:v>
                </c:pt>
                <c:pt idx="10">
                  <c:v>109</c:v>
                </c:pt>
                <c:pt idx="11">
                  <c:v>130</c:v>
                </c:pt>
                <c:pt idx="12">
                  <c:v>130</c:v>
                </c:pt>
                <c:pt idx="13">
                  <c:v>250</c:v>
                </c:pt>
                <c:pt idx="14">
                  <c:v>279</c:v>
                </c:pt>
                <c:pt idx="15">
                  <c:v>673</c:v>
                </c:pt>
              </c:numCache>
            </c:numRef>
          </c:cat>
          <c:val>
            <c:numRef>
              <c:f>'Incinera 2 - Familias - Weibull'!$AV$7:$AV$22</c:f>
              <c:numCache>
                <c:formatCode>0,000,000</c:formatCode>
                <c:ptCount val="16"/>
                <c:pt idx="0">
                  <c:v>0.96153846153846156</c:v>
                </c:pt>
                <c:pt idx="1">
                  <c:v>0.9</c:v>
                </c:pt>
                <c:pt idx="2">
                  <c:v>0.83846153846153848</c:v>
                </c:pt>
                <c:pt idx="3">
                  <c:v>0.77692307692307694</c:v>
                </c:pt>
                <c:pt idx="4">
                  <c:v>0.7153846153846154</c:v>
                </c:pt>
                <c:pt idx="5">
                  <c:v>0.65384615384615385</c:v>
                </c:pt>
                <c:pt idx="6">
                  <c:v>0.59230769230769231</c:v>
                </c:pt>
                <c:pt idx="7">
                  <c:v>0.53076923076923077</c:v>
                </c:pt>
                <c:pt idx="8">
                  <c:v>0.46923076923076923</c:v>
                </c:pt>
                <c:pt idx="9">
                  <c:v>0.40769230769230769</c:v>
                </c:pt>
                <c:pt idx="10">
                  <c:v>0.34615384615384615</c:v>
                </c:pt>
                <c:pt idx="11">
                  <c:v>0.2846153846153846</c:v>
                </c:pt>
                <c:pt idx="12">
                  <c:v>0.22307692307692309</c:v>
                </c:pt>
                <c:pt idx="13">
                  <c:v>0.16153846153846155</c:v>
                </c:pt>
                <c:pt idx="14">
                  <c:v>0.1</c:v>
                </c:pt>
                <c:pt idx="15">
                  <c:v>3.8461538461538464E-2</c:v>
                </c:pt>
              </c:numCache>
            </c:numRef>
          </c:val>
          <c:smooth val="0"/>
        </c:ser>
        <c:dLbls>
          <c:showLegendKey val="0"/>
          <c:showVal val="0"/>
          <c:showCatName val="0"/>
          <c:showSerName val="0"/>
          <c:showPercent val="0"/>
          <c:showBubbleSize val="0"/>
        </c:dLbls>
        <c:marker val="1"/>
        <c:smooth val="0"/>
        <c:axId val="119189504"/>
        <c:axId val="119191040"/>
      </c:lineChart>
      <c:catAx>
        <c:axId val="119189504"/>
        <c:scaling>
          <c:orientation val="minMax"/>
        </c:scaling>
        <c:delete val="0"/>
        <c:axPos val="b"/>
        <c:numFmt formatCode="General" sourceLinked="1"/>
        <c:majorTickMark val="out"/>
        <c:minorTickMark val="none"/>
        <c:tickLblPos val="nextTo"/>
        <c:crossAx val="119191040"/>
        <c:crosses val="autoZero"/>
        <c:auto val="1"/>
        <c:lblAlgn val="ctr"/>
        <c:lblOffset val="100"/>
        <c:noMultiLvlLbl val="0"/>
      </c:catAx>
      <c:valAx>
        <c:axId val="119191040"/>
        <c:scaling>
          <c:orientation val="minMax"/>
          <c:max val="1"/>
        </c:scaling>
        <c:delete val="0"/>
        <c:axPos val="l"/>
        <c:majorGridlines/>
        <c:numFmt formatCode="0,000,000" sourceLinked="1"/>
        <c:majorTickMark val="out"/>
        <c:minorTickMark val="none"/>
        <c:tickLblPos val="nextTo"/>
        <c:crossAx val="119189504"/>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131.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pt-PT"/>
              <a:t>Forno</a:t>
            </a:r>
            <a:r>
              <a:rPr lang="pt-PT" baseline="0"/>
              <a:t> 2 - Câmara de Fumos (Tipo B)</a:t>
            </a:r>
            <a:endParaRPr lang="pt-PT"/>
          </a:p>
        </c:rich>
      </c:tx>
      <c:overlay val="0"/>
    </c:title>
    <c:autoTitleDeleted val="0"/>
    <c:plotArea>
      <c:layout/>
      <c:lineChart>
        <c:grouping val="standard"/>
        <c:varyColors val="0"/>
        <c:ser>
          <c:idx val="0"/>
          <c:order val="0"/>
          <c:marker>
            <c:symbol val="none"/>
          </c:marker>
          <c:cat>
            <c:numRef>
              <c:f>'Incinera 2 - Familias - Weibull'!$AW$7:$AW$17</c:f>
              <c:numCache>
                <c:formatCode>General</c:formatCode>
                <c:ptCount val="11"/>
                <c:pt idx="0">
                  <c:v>7</c:v>
                </c:pt>
                <c:pt idx="1">
                  <c:v>36</c:v>
                </c:pt>
                <c:pt idx="2">
                  <c:v>93</c:v>
                </c:pt>
                <c:pt idx="3">
                  <c:v>119</c:v>
                </c:pt>
                <c:pt idx="4">
                  <c:v>137</c:v>
                </c:pt>
                <c:pt idx="5">
                  <c:v>164</c:v>
                </c:pt>
                <c:pt idx="6">
                  <c:v>215</c:v>
                </c:pt>
                <c:pt idx="7">
                  <c:v>239</c:v>
                </c:pt>
                <c:pt idx="8">
                  <c:v>244</c:v>
                </c:pt>
                <c:pt idx="9">
                  <c:v>304</c:v>
                </c:pt>
                <c:pt idx="10">
                  <c:v>461</c:v>
                </c:pt>
              </c:numCache>
            </c:numRef>
          </c:cat>
          <c:val>
            <c:numRef>
              <c:f>'Incinera 2 - Familias - Weibull'!$AY$7:$AY$17</c:f>
              <c:numCache>
                <c:formatCode>0,000,000</c:formatCode>
                <c:ptCount val="11"/>
                <c:pt idx="0">
                  <c:v>0.94444444444444442</c:v>
                </c:pt>
                <c:pt idx="1">
                  <c:v>0.85555555555555551</c:v>
                </c:pt>
                <c:pt idx="2">
                  <c:v>0.76666666666666672</c:v>
                </c:pt>
                <c:pt idx="3">
                  <c:v>0.67777777777777781</c:v>
                </c:pt>
                <c:pt idx="4">
                  <c:v>0.58888888888888891</c:v>
                </c:pt>
                <c:pt idx="5">
                  <c:v>0.5</c:v>
                </c:pt>
                <c:pt idx="6">
                  <c:v>0.41111111111111109</c:v>
                </c:pt>
                <c:pt idx="7">
                  <c:v>0.32222222222222224</c:v>
                </c:pt>
                <c:pt idx="8">
                  <c:v>0.23333333333333334</c:v>
                </c:pt>
                <c:pt idx="9">
                  <c:v>0.14444444444444443</c:v>
                </c:pt>
                <c:pt idx="10">
                  <c:v>5.5555555555555552E-2</c:v>
                </c:pt>
              </c:numCache>
            </c:numRef>
          </c:val>
          <c:smooth val="0"/>
        </c:ser>
        <c:dLbls>
          <c:showLegendKey val="0"/>
          <c:showVal val="0"/>
          <c:showCatName val="0"/>
          <c:showSerName val="0"/>
          <c:showPercent val="0"/>
          <c:showBubbleSize val="0"/>
        </c:dLbls>
        <c:marker val="1"/>
        <c:smooth val="0"/>
        <c:axId val="119203328"/>
        <c:axId val="119204864"/>
      </c:lineChart>
      <c:catAx>
        <c:axId val="119203328"/>
        <c:scaling>
          <c:orientation val="minMax"/>
        </c:scaling>
        <c:delete val="0"/>
        <c:axPos val="b"/>
        <c:numFmt formatCode="General" sourceLinked="1"/>
        <c:majorTickMark val="out"/>
        <c:minorTickMark val="none"/>
        <c:tickLblPos val="nextTo"/>
        <c:crossAx val="119204864"/>
        <c:crosses val="autoZero"/>
        <c:auto val="1"/>
        <c:lblAlgn val="ctr"/>
        <c:lblOffset val="100"/>
        <c:noMultiLvlLbl val="0"/>
      </c:catAx>
      <c:valAx>
        <c:axId val="119204864"/>
        <c:scaling>
          <c:orientation val="minMax"/>
          <c:max val="1"/>
        </c:scaling>
        <c:delete val="0"/>
        <c:axPos val="l"/>
        <c:majorGridlines/>
        <c:numFmt formatCode="0,000,000" sourceLinked="1"/>
        <c:majorTickMark val="out"/>
        <c:minorTickMark val="none"/>
        <c:tickLblPos val="nextTo"/>
        <c:crossAx val="119203328"/>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132.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pt-PT"/>
              <a:t>Forno</a:t>
            </a:r>
            <a:r>
              <a:rPr lang="pt-PT" baseline="0"/>
              <a:t> 2 - Câmara de Fumos (Tipo A+B)</a:t>
            </a:r>
            <a:endParaRPr lang="pt-PT"/>
          </a:p>
        </c:rich>
      </c:tx>
      <c:overlay val="0"/>
    </c:title>
    <c:autoTitleDeleted val="0"/>
    <c:plotArea>
      <c:layout/>
      <c:lineChart>
        <c:grouping val="standard"/>
        <c:varyColors val="0"/>
        <c:ser>
          <c:idx val="0"/>
          <c:order val="0"/>
          <c:marker>
            <c:symbol val="none"/>
          </c:marker>
          <c:cat>
            <c:numRef>
              <c:f>'Incinera 2 - Familias - Weibull'!$AZ$7:$AZ$33</c:f>
              <c:numCache>
                <c:formatCode>General</c:formatCode>
                <c:ptCount val="27"/>
                <c:pt idx="0">
                  <c:v>1</c:v>
                </c:pt>
                <c:pt idx="1">
                  <c:v>2</c:v>
                </c:pt>
                <c:pt idx="2">
                  <c:v>4</c:v>
                </c:pt>
                <c:pt idx="3">
                  <c:v>7</c:v>
                </c:pt>
                <c:pt idx="4">
                  <c:v>10</c:v>
                </c:pt>
                <c:pt idx="5">
                  <c:v>15</c:v>
                </c:pt>
                <c:pt idx="6">
                  <c:v>36</c:v>
                </c:pt>
                <c:pt idx="7">
                  <c:v>36</c:v>
                </c:pt>
                <c:pt idx="8">
                  <c:v>36</c:v>
                </c:pt>
                <c:pt idx="9">
                  <c:v>59</c:v>
                </c:pt>
                <c:pt idx="10">
                  <c:v>75</c:v>
                </c:pt>
                <c:pt idx="11">
                  <c:v>79</c:v>
                </c:pt>
                <c:pt idx="12">
                  <c:v>93</c:v>
                </c:pt>
                <c:pt idx="13">
                  <c:v>109</c:v>
                </c:pt>
                <c:pt idx="14">
                  <c:v>119</c:v>
                </c:pt>
                <c:pt idx="15">
                  <c:v>130</c:v>
                </c:pt>
                <c:pt idx="16">
                  <c:v>130</c:v>
                </c:pt>
                <c:pt idx="17">
                  <c:v>137</c:v>
                </c:pt>
                <c:pt idx="18">
                  <c:v>164</c:v>
                </c:pt>
                <c:pt idx="19">
                  <c:v>215</c:v>
                </c:pt>
                <c:pt idx="20">
                  <c:v>239</c:v>
                </c:pt>
                <c:pt idx="21">
                  <c:v>244</c:v>
                </c:pt>
                <c:pt idx="22">
                  <c:v>250</c:v>
                </c:pt>
                <c:pt idx="23">
                  <c:v>279</c:v>
                </c:pt>
                <c:pt idx="24">
                  <c:v>304</c:v>
                </c:pt>
                <c:pt idx="25">
                  <c:v>461</c:v>
                </c:pt>
                <c:pt idx="26">
                  <c:v>673</c:v>
                </c:pt>
              </c:numCache>
            </c:numRef>
          </c:cat>
          <c:val>
            <c:numRef>
              <c:f>'Incinera 2 - Familias - Weibull'!$BB$7:$BB$33</c:f>
              <c:numCache>
                <c:formatCode>0,000,000</c:formatCode>
                <c:ptCount val="27"/>
                <c:pt idx="0">
                  <c:v>0.97706422018348627</c:v>
                </c:pt>
                <c:pt idx="1">
                  <c:v>0.94036697247706424</c:v>
                </c:pt>
                <c:pt idx="2">
                  <c:v>0.90366972477064222</c:v>
                </c:pt>
                <c:pt idx="3">
                  <c:v>0.8669724770642202</c:v>
                </c:pt>
                <c:pt idx="4">
                  <c:v>0.83027522935779818</c:v>
                </c:pt>
                <c:pt idx="5">
                  <c:v>0.79357798165137616</c:v>
                </c:pt>
                <c:pt idx="6">
                  <c:v>0.75688073394495414</c:v>
                </c:pt>
                <c:pt idx="7">
                  <c:v>0.72018348623853212</c:v>
                </c:pt>
                <c:pt idx="8">
                  <c:v>0.6834862385321101</c:v>
                </c:pt>
                <c:pt idx="9">
                  <c:v>0.64678899082568808</c:v>
                </c:pt>
                <c:pt idx="10">
                  <c:v>0.61009174311926606</c:v>
                </c:pt>
                <c:pt idx="11">
                  <c:v>0.57339449541284404</c:v>
                </c:pt>
                <c:pt idx="12">
                  <c:v>0.53669724770642202</c:v>
                </c:pt>
                <c:pt idx="13">
                  <c:v>0.5</c:v>
                </c:pt>
                <c:pt idx="14">
                  <c:v>0.46330275229357798</c:v>
                </c:pt>
                <c:pt idx="15">
                  <c:v>0.42660550458715596</c:v>
                </c:pt>
                <c:pt idx="16">
                  <c:v>0.38990825688073394</c:v>
                </c:pt>
                <c:pt idx="17">
                  <c:v>0.35321100917431192</c:v>
                </c:pt>
                <c:pt idx="18">
                  <c:v>0.3165137614678899</c:v>
                </c:pt>
                <c:pt idx="19">
                  <c:v>0.27981651376146788</c:v>
                </c:pt>
                <c:pt idx="20">
                  <c:v>0.24311926605504589</c:v>
                </c:pt>
                <c:pt idx="21">
                  <c:v>0.20642201834862386</c:v>
                </c:pt>
                <c:pt idx="22">
                  <c:v>0.16972477064220184</c:v>
                </c:pt>
                <c:pt idx="23">
                  <c:v>0.13302752293577982</c:v>
                </c:pt>
                <c:pt idx="24">
                  <c:v>9.6330275229357804E-2</c:v>
                </c:pt>
                <c:pt idx="25">
                  <c:v>5.9633027522935783E-2</c:v>
                </c:pt>
                <c:pt idx="26">
                  <c:v>2.2935779816513763E-2</c:v>
                </c:pt>
              </c:numCache>
            </c:numRef>
          </c:val>
          <c:smooth val="0"/>
        </c:ser>
        <c:dLbls>
          <c:showLegendKey val="0"/>
          <c:showVal val="0"/>
          <c:showCatName val="0"/>
          <c:showSerName val="0"/>
          <c:showPercent val="0"/>
          <c:showBubbleSize val="0"/>
        </c:dLbls>
        <c:marker val="1"/>
        <c:smooth val="0"/>
        <c:axId val="119307264"/>
        <c:axId val="119317248"/>
      </c:lineChart>
      <c:catAx>
        <c:axId val="119307264"/>
        <c:scaling>
          <c:orientation val="minMax"/>
        </c:scaling>
        <c:delete val="0"/>
        <c:axPos val="b"/>
        <c:numFmt formatCode="General" sourceLinked="1"/>
        <c:majorTickMark val="out"/>
        <c:minorTickMark val="none"/>
        <c:tickLblPos val="nextTo"/>
        <c:crossAx val="119317248"/>
        <c:crosses val="autoZero"/>
        <c:auto val="1"/>
        <c:lblAlgn val="ctr"/>
        <c:lblOffset val="100"/>
        <c:noMultiLvlLbl val="0"/>
      </c:catAx>
      <c:valAx>
        <c:axId val="119317248"/>
        <c:scaling>
          <c:orientation val="minMax"/>
          <c:max val="1"/>
        </c:scaling>
        <c:delete val="0"/>
        <c:axPos val="l"/>
        <c:majorGridlines/>
        <c:numFmt formatCode="0,000,000" sourceLinked="1"/>
        <c:majorTickMark val="out"/>
        <c:minorTickMark val="none"/>
        <c:tickLblPos val="nextTo"/>
        <c:crossAx val="119307264"/>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133.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pt-PT"/>
              <a:t>Forno</a:t>
            </a:r>
            <a:r>
              <a:rPr lang="pt-PT" baseline="0"/>
              <a:t> 3 - Câmara de Fumos</a:t>
            </a:r>
            <a:endParaRPr lang="pt-PT"/>
          </a:p>
        </c:rich>
      </c:tx>
      <c:overlay val="0"/>
    </c:title>
    <c:autoTitleDeleted val="0"/>
    <c:plotArea>
      <c:layout/>
      <c:lineChart>
        <c:grouping val="standard"/>
        <c:varyColors val="0"/>
        <c:ser>
          <c:idx val="0"/>
          <c:order val="0"/>
          <c:tx>
            <c:v>2010</c:v>
          </c:tx>
          <c:marker>
            <c:symbol val="none"/>
          </c:marker>
          <c:cat>
            <c:numRef>
              <c:f>'Inciner 3 - Total - Exponencial'!$AJ$6:$AJ$79</c:f>
              <c:numCache>
                <c:formatCode>General</c:formatCode>
                <c:ptCount val="74"/>
                <c:pt idx="0">
                  <c:v>1</c:v>
                </c:pt>
                <c:pt idx="1">
                  <c:v>6</c:v>
                </c:pt>
                <c:pt idx="2">
                  <c:v>11</c:v>
                </c:pt>
                <c:pt idx="3">
                  <c:v>16</c:v>
                </c:pt>
                <c:pt idx="4">
                  <c:v>21</c:v>
                </c:pt>
                <c:pt idx="5">
                  <c:v>26</c:v>
                </c:pt>
                <c:pt idx="6">
                  <c:v>31</c:v>
                </c:pt>
                <c:pt idx="7">
                  <c:v>36</c:v>
                </c:pt>
                <c:pt idx="8">
                  <c:v>41</c:v>
                </c:pt>
                <c:pt idx="9">
                  <c:v>46</c:v>
                </c:pt>
                <c:pt idx="10">
                  <c:v>51</c:v>
                </c:pt>
                <c:pt idx="11">
                  <c:v>56</c:v>
                </c:pt>
                <c:pt idx="12">
                  <c:v>61</c:v>
                </c:pt>
                <c:pt idx="13">
                  <c:v>66</c:v>
                </c:pt>
                <c:pt idx="14">
                  <c:v>71</c:v>
                </c:pt>
                <c:pt idx="15">
                  <c:v>76</c:v>
                </c:pt>
                <c:pt idx="16">
                  <c:v>81</c:v>
                </c:pt>
                <c:pt idx="17">
                  <c:v>86</c:v>
                </c:pt>
                <c:pt idx="18">
                  <c:v>91</c:v>
                </c:pt>
                <c:pt idx="19">
                  <c:v>96</c:v>
                </c:pt>
                <c:pt idx="20">
                  <c:v>101</c:v>
                </c:pt>
                <c:pt idx="21">
                  <c:v>106</c:v>
                </c:pt>
                <c:pt idx="22">
                  <c:v>111</c:v>
                </c:pt>
                <c:pt idx="23">
                  <c:v>116</c:v>
                </c:pt>
                <c:pt idx="24">
                  <c:v>121</c:v>
                </c:pt>
                <c:pt idx="25">
                  <c:v>126</c:v>
                </c:pt>
                <c:pt idx="26">
                  <c:v>131</c:v>
                </c:pt>
                <c:pt idx="27">
                  <c:v>136</c:v>
                </c:pt>
                <c:pt idx="28">
                  <c:v>141</c:v>
                </c:pt>
                <c:pt idx="29">
                  <c:v>146</c:v>
                </c:pt>
                <c:pt idx="30">
                  <c:v>151</c:v>
                </c:pt>
                <c:pt idx="31">
                  <c:v>156</c:v>
                </c:pt>
                <c:pt idx="32">
                  <c:v>161</c:v>
                </c:pt>
                <c:pt idx="33">
                  <c:v>166</c:v>
                </c:pt>
                <c:pt idx="34">
                  <c:v>171</c:v>
                </c:pt>
                <c:pt idx="35">
                  <c:v>176</c:v>
                </c:pt>
                <c:pt idx="36">
                  <c:v>181</c:v>
                </c:pt>
                <c:pt idx="37">
                  <c:v>186</c:v>
                </c:pt>
                <c:pt idx="38">
                  <c:v>191</c:v>
                </c:pt>
                <c:pt idx="39">
                  <c:v>196</c:v>
                </c:pt>
                <c:pt idx="40">
                  <c:v>201</c:v>
                </c:pt>
                <c:pt idx="41">
                  <c:v>206</c:v>
                </c:pt>
                <c:pt idx="42">
                  <c:v>211</c:v>
                </c:pt>
                <c:pt idx="43">
                  <c:v>216</c:v>
                </c:pt>
                <c:pt idx="44">
                  <c:v>221</c:v>
                </c:pt>
                <c:pt idx="45">
                  <c:v>226</c:v>
                </c:pt>
                <c:pt idx="46">
                  <c:v>231</c:v>
                </c:pt>
                <c:pt idx="47">
                  <c:v>236</c:v>
                </c:pt>
                <c:pt idx="48">
                  <c:v>241</c:v>
                </c:pt>
                <c:pt idx="49">
                  <c:v>246</c:v>
                </c:pt>
                <c:pt idx="50">
                  <c:v>251</c:v>
                </c:pt>
                <c:pt idx="51">
                  <c:v>256</c:v>
                </c:pt>
                <c:pt idx="52">
                  <c:v>261</c:v>
                </c:pt>
                <c:pt idx="53">
                  <c:v>266</c:v>
                </c:pt>
                <c:pt idx="54">
                  <c:v>271</c:v>
                </c:pt>
                <c:pt idx="55">
                  <c:v>276</c:v>
                </c:pt>
                <c:pt idx="56">
                  <c:v>281</c:v>
                </c:pt>
                <c:pt idx="57">
                  <c:v>286</c:v>
                </c:pt>
                <c:pt idx="58">
                  <c:v>291</c:v>
                </c:pt>
                <c:pt idx="59">
                  <c:v>296</c:v>
                </c:pt>
                <c:pt idx="60">
                  <c:v>301</c:v>
                </c:pt>
                <c:pt idx="61">
                  <c:v>306</c:v>
                </c:pt>
                <c:pt idx="62">
                  <c:v>311</c:v>
                </c:pt>
                <c:pt idx="63">
                  <c:v>316</c:v>
                </c:pt>
                <c:pt idx="64">
                  <c:v>321</c:v>
                </c:pt>
                <c:pt idx="65">
                  <c:v>326</c:v>
                </c:pt>
                <c:pt idx="66">
                  <c:v>331</c:v>
                </c:pt>
                <c:pt idx="67">
                  <c:v>336</c:v>
                </c:pt>
                <c:pt idx="68">
                  <c:v>341</c:v>
                </c:pt>
                <c:pt idx="69">
                  <c:v>346</c:v>
                </c:pt>
                <c:pt idx="70">
                  <c:v>351</c:v>
                </c:pt>
                <c:pt idx="71">
                  <c:v>356</c:v>
                </c:pt>
                <c:pt idx="72">
                  <c:v>361</c:v>
                </c:pt>
                <c:pt idx="73">
                  <c:v>366</c:v>
                </c:pt>
              </c:numCache>
            </c:numRef>
          </c:cat>
          <c:val>
            <c:numRef>
              <c:f>'Inciner 3 - Total - Exponencial'!$AK$6:$AK$79</c:f>
              <c:numCache>
                <c:formatCode>General</c:formatCode>
                <c:ptCount val="74"/>
                <c:pt idx="0">
                  <c:v>0.99442898380825406</c:v>
                </c:pt>
                <c:pt idx="1">
                  <c:v>0.96703600252135291</c:v>
                </c:pt>
                <c:pt idx="2">
                  <c:v>0.94039760043115894</c:v>
                </c:pt>
                <c:pt idx="3">
                  <c:v>0.91449299156486641</c:v>
                </c:pt>
                <c:pt idx="4">
                  <c:v>0.88930196252928373</c:v>
                </c:pt>
                <c:pt idx="5">
                  <c:v>0.8648048567383021</c:v>
                </c:pt>
                <c:pt idx="6">
                  <c:v>0.84098255907484076</c:v>
                </c:pt>
                <c:pt idx="7">
                  <c:v>0.81781648097530157</c:v>
                </c:pt>
                <c:pt idx="8">
                  <c:v>0.79528854592489329</c:v>
                </c:pt>
                <c:pt idx="9">
                  <c:v>0.77338117535250839</c:v>
                </c:pt>
                <c:pt idx="10">
                  <c:v>0.752077274914146</c:v>
                </c:pt>
                <c:pt idx="11">
                  <c:v>0.73136022115417709</c:v>
                </c:pt>
                <c:pt idx="12">
                  <c:v>0.71121384853404512</c:v>
                </c:pt>
                <c:pt idx="13">
                  <c:v>0.69162243681827928</c:v>
                </c:pt>
                <c:pt idx="14">
                  <c:v>0.67257069880797882</c:v>
                </c:pt>
                <c:pt idx="15">
                  <c:v>0.65404376841219558</c:v>
                </c:pt>
                <c:pt idx="16">
                  <c:v>0.63602718904790756</c:v>
                </c:pt>
                <c:pt idx="17">
                  <c:v>0.61850690235953287</c:v>
                </c:pt>
                <c:pt idx="18">
                  <c:v>0.60146923724917967</c:v>
                </c:pt>
                <c:pt idx="19">
                  <c:v>0.5849008992090744</c:v>
                </c:pt>
                <c:pt idx="20">
                  <c:v>0.56878895994784373</c:v>
                </c:pt>
                <c:pt idx="21">
                  <c:v>0.5531208473025554</c:v>
                </c:pt>
                <c:pt idx="22">
                  <c:v>0.53788433542864633</c:v>
                </c:pt>
                <c:pt idx="23">
                  <c:v>0.52306753526008321</c:v>
                </c:pt>
                <c:pt idx="24">
                  <c:v>0.50865888523231229</c:v>
                </c:pt>
                <c:pt idx="25">
                  <c:v>0.4946471422607584</c:v>
                </c:pt>
                <c:pt idx="26">
                  <c:v>0.48102137296783437</c:v>
                </c:pt>
                <c:pt idx="27">
                  <c:v>0.46777094515161527</c:v>
                </c:pt>
                <c:pt idx="28">
                  <c:v>0.45488551948951989</c:v>
                </c:pt>
                <c:pt idx="29">
                  <c:v>0.44235504147052696</c:v>
                </c:pt>
                <c:pt idx="30">
                  <c:v>0.43016973354962967</c:v>
                </c:pt>
                <c:pt idx="31">
                  <c:v>0.41832008751840699</c:v>
                </c:pt>
                <c:pt idx="32">
                  <c:v>0.40679685708575891</c:v>
                </c:pt>
                <c:pt idx="33">
                  <c:v>0.39559105066301581</c:v>
                </c:pt>
                <c:pt idx="34">
                  <c:v>0.38469392434779259</c:v>
                </c:pt>
                <c:pt idx="35">
                  <c:v>0.37409697510111256</c:v>
                </c:pt>
                <c:pt idx="36">
                  <c:v>0.36379193411247712</c:v>
                </c:pt>
                <c:pt idx="37">
                  <c:v>0.35377076034770455</c:v>
                </c:pt>
                <c:pt idx="38">
                  <c:v>0.34402563427450272</c:v>
                </c:pt>
                <c:pt idx="39">
                  <c:v>0.33454895176087951</c:v>
                </c:pt>
                <c:pt idx="40">
                  <c:v>0.32533331814163124</c:v>
                </c:pt>
                <c:pt idx="41">
                  <c:v>0.31637154244827759</c:v>
                </c:pt>
                <c:pt idx="42">
                  <c:v>0.30765663179794123</c:v>
                </c:pt>
                <c:pt idx="43">
                  <c:v>0.29918178593679412</c:v>
                </c:pt>
                <c:pt idx="44">
                  <c:v>0.29094039193381266</c:v>
                </c:pt>
                <c:pt idx="45">
                  <c:v>0.28292601902070036</c:v>
                </c:pt>
                <c:pt idx="46">
                  <c:v>0.27513241357395296</c:v>
                </c:pt>
                <c:pt idx="47">
                  <c:v>0.26755349423514935</c:v>
                </c:pt>
                <c:pt idx="48">
                  <c:v>0.26018334716566116</c:v>
                </c:pt>
                <c:pt idx="49">
                  <c:v>0.2530162214320788</c:v>
                </c:pt>
                <c:pt idx="50">
                  <c:v>0.24604652451875172</c:v>
                </c:pt>
                <c:pt idx="51">
                  <c:v>0.23926881796394273</c:v>
                </c:pt>
                <c:pt idx="52">
                  <c:v>0.23267781311619076</c:v>
                </c:pt>
                <c:pt idx="53">
                  <c:v>0.22626836700757058</c:v>
                </c:pt>
                <c:pt idx="54">
                  <c:v>0.22003547834062961</c:v>
                </c:pt>
                <c:pt idx="55">
                  <c:v>0.21397428358587031</c:v>
                </c:pt>
                <c:pt idx="56">
                  <c:v>0.20808005318673303</c:v>
                </c:pt>
                <c:pt idx="57">
                  <c:v>0.2023481878691181</c:v>
                </c:pt>
                <c:pt idx="58">
                  <c:v>0.19677421505256759</c:v>
                </c:pt>
                <c:pt idx="59">
                  <c:v>0.19135378536030612</c:v>
                </c:pt>
                <c:pt idx="60">
                  <c:v>0.1860826692254175</c:v>
                </c:pt>
                <c:pt idx="61">
                  <c:v>0.18095675359050942</c:v>
                </c:pt>
                <c:pt idx="62">
                  <c:v>0.1759720386982904</c:v>
                </c:pt>
                <c:pt idx="63">
                  <c:v>0.17112463497055513</c:v>
                </c:pt>
                <c:pt idx="64">
                  <c:v>0.16641075997314245</c:v>
                </c:pt>
                <c:pt idx="65">
                  <c:v>0.16182673546449816</c:v>
                </c:pt>
                <c:pt idx="66">
                  <c:v>0.15736898452553913</c:v>
                </c:pt>
                <c:pt idx="67">
                  <c:v>0.15303402876857986</c:v>
                </c:pt>
                <c:pt idx="68">
                  <c:v>0.14881848562314282</c:v>
                </c:pt>
                <c:pt idx="69">
                  <c:v>0.14471906569653517</c:v>
                </c:pt>
                <c:pt idx="70">
                  <c:v>0.14073257020713237</c:v>
                </c:pt>
                <c:pt idx="71">
                  <c:v>0.13685588848836538</c:v>
                </c:pt>
                <c:pt idx="72">
                  <c:v>0.13308599556146444</c:v>
                </c:pt>
                <c:pt idx="73">
                  <c:v>0.12941994977506494</c:v>
                </c:pt>
              </c:numCache>
            </c:numRef>
          </c:val>
          <c:smooth val="0"/>
        </c:ser>
        <c:ser>
          <c:idx val="1"/>
          <c:order val="1"/>
          <c:tx>
            <c:v>2011</c:v>
          </c:tx>
          <c:marker>
            <c:symbol val="none"/>
          </c:marker>
          <c:val>
            <c:numRef>
              <c:f>'Inciner 3 - Total - Exponencial'!$AL$6:$AL$79</c:f>
              <c:numCache>
                <c:formatCode>General</c:formatCode>
                <c:ptCount val="74"/>
                <c:pt idx="0">
                  <c:v>0.9888269325324206</c:v>
                </c:pt>
                <c:pt idx="1">
                  <c:v>0.93480649312498687</c:v>
                </c:pt>
                <c:pt idx="2">
                  <c:v>0.88373723534273252</c:v>
                </c:pt>
                <c:pt idx="3">
                  <c:v>0.83545793367397481</c:v>
                </c:pt>
                <c:pt idx="4">
                  <c:v>0.78981617049109842</c:v>
                </c:pt>
                <c:pt idx="5">
                  <c:v>0.74666785486850906</c:v>
                </c:pt>
                <c:pt idx="6">
                  <c:v>0.70587676768796215</c:v>
                </c:pt>
                <c:pt idx="7">
                  <c:v>0.66731413159516684</c:v>
                </c:pt>
                <c:pt idx="8">
                  <c:v>0.63085820445001994</c:v>
                </c:pt>
                <c:pt idx="9">
                  <c:v>0.59639389498699125</c:v>
                </c:pt>
                <c:pt idx="10">
                  <c:v>0.56381239947230277</c:v>
                </c:pt>
                <c:pt idx="11">
                  <c:v>0.53301085821082961</c:v>
                </c:pt>
                <c:pt idx="12">
                  <c:v>0.5038920308183138</c:v>
                </c:pt>
                <c:pt idx="13">
                  <c:v>0.47636398923372941</c:v>
                </c:pt>
                <c:pt idx="14">
                  <c:v>0.45033982750263662</c:v>
                </c:pt>
                <c:pt idx="15">
                  <c:v>0.42573738741531353</c:v>
                </c:pt>
                <c:pt idx="16">
                  <c:v>0.4024789991335056</c:v>
                </c:pt>
                <c:pt idx="17">
                  <c:v>0.38049123598695195</c:v>
                </c:pt>
                <c:pt idx="18">
                  <c:v>0.35970468266558103</c:v>
                </c:pt>
                <c:pt idx="19">
                  <c:v>0.34005371607556145</c:v>
                </c:pt>
                <c:pt idx="20">
                  <c:v>0.32147629816736722</c:v>
                </c:pt>
                <c:pt idx="21">
                  <c:v>0.30391378008182041</c:v>
                </c:pt>
                <c:pt idx="22">
                  <c:v>0.28731071699579769</c:v>
                </c:pt>
                <c:pt idx="23">
                  <c:v>0.27161469308307018</c:v>
                </c:pt>
                <c:pt idx="24">
                  <c:v>0.25677615603767917</c:v>
                </c:pt>
                <c:pt idx="25">
                  <c:v>0.24274826063743693</c:v>
                </c:pt>
                <c:pt idx="26">
                  <c:v>0.22948672085368443</c:v>
                </c:pt>
                <c:pt idx="27">
                  <c:v>0.21694967004041621</c:v>
                </c:pt>
                <c:pt idx="28">
                  <c:v>0.20509752876138934</c:v>
                </c:pt>
                <c:pt idx="29">
                  <c:v>0.19389287983794812</c:v>
                </c:pt>
                <c:pt idx="30">
                  <c:v>0.1833003502230903</c:v>
                </c:pt>
                <c:pt idx="31">
                  <c:v>0.17328649932885085</c:v>
                </c:pt>
                <c:pt idx="32">
                  <c:v>0.16381971345445456</c:v>
                </c:pt>
                <c:pt idx="33">
                  <c:v>0.15487010598194637</c:v>
                </c:pt>
                <c:pt idx="34">
                  <c:v>0.14640942302421725</c:v>
                </c:pt>
                <c:pt idx="35">
                  <c:v>0.13841095422755781</c:v>
                </c:pt>
                <c:pt idx="36">
                  <c:v>0.13084944844714186</c:v>
                </c:pt>
                <c:pt idx="37">
                  <c:v>0.12370103402922936</c:v>
                </c:pt>
                <c:pt idx="38">
                  <c:v>0.11694314344841851</c:v>
                </c:pt>
                <c:pt idx="39">
                  <c:v>0.11055444206202804</c:v>
                </c:pt>
                <c:pt idx="40">
                  <c:v>0.10451476075668635</c:v>
                </c:pt>
                <c:pt idx="41">
                  <c:v>9.8805032274494262E-2</c:v>
                </c:pt>
                <c:pt idx="42">
                  <c:v>9.3407231017742134E-2</c:v>
                </c:pt>
                <c:pt idx="43">
                  <c:v>8.8304316142145678E-2</c:v>
                </c:pt>
                <c:pt idx="44">
                  <c:v>8.3480177758945562E-2</c:v>
                </c:pt>
                <c:pt idx="45">
                  <c:v>7.8919586076031376E-2</c:v>
                </c:pt>
                <c:pt idx="46">
                  <c:v>7.4608143317528006E-2</c:v>
                </c:pt>
                <c:pt idx="47">
                  <c:v>7.0532238270055503E-2</c:v>
                </c:pt>
                <c:pt idx="48">
                  <c:v>6.6679003312164337E-2</c:v>
                </c:pt>
                <c:pt idx="49">
                  <c:v>6.303627379128858E-2</c:v>
                </c:pt>
                <c:pt idx="50">
                  <c:v>5.9592549619969994E-2</c:v>
                </c:pt>
                <c:pt idx="51">
                  <c:v>5.633695897011224E-2</c:v>
                </c:pt>
                <c:pt idx="52">
                  <c:v>5.3259223950648416E-2</c:v>
                </c:pt>
                <c:pt idx="53">
                  <c:v>5.0349628160266141E-2</c:v>
                </c:pt>
                <c:pt idx="54">
                  <c:v>4.7598986012754328E-2</c:v>
                </c:pt>
                <c:pt idx="55">
                  <c:v>4.4998613738131875E-2</c:v>
                </c:pt>
                <c:pt idx="56">
                  <c:v>4.2540301968008676E-2</c:v>
                </c:pt>
                <c:pt idx="57">
                  <c:v>4.0216289818631464E-2</c:v>
                </c:pt>
                <c:pt idx="58">
                  <c:v>3.801924038979429E-2</c:v>
                </c:pt>
                <c:pt idx="59">
                  <c:v>3.5942217602263959E-2</c:v>
                </c:pt>
                <c:pt idx="60">
                  <c:v>3.3978664300596338E-2</c:v>
                </c:pt>
                <c:pt idx="61">
                  <c:v>3.2122381552213863E-2</c:v>
                </c:pt>
                <c:pt idx="62">
                  <c:v>3.0367509077391847E-2</c:v>
                </c:pt>
                <c:pt idx="63">
                  <c:v>2.8708506748370884E-2</c:v>
                </c:pt>
                <c:pt idx="64">
                  <c:v>2.7140137099188194E-2</c:v>
                </c:pt>
                <c:pt idx="65">
                  <c:v>2.5657448791011391E-2</c:v>
                </c:pt>
                <c:pt idx="66">
                  <c:v>2.4255760980774973E-2</c:v>
                </c:pt>
                <c:pt idx="67">
                  <c:v>2.293064854377105E-2</c:v>
                </c:pt>
                <c:pt idx="68">
                  <c:v>2.167792810354242E-2</c:v>
                </c:pt>
                <c:pt idx="69">
                  <c:v>2.0493644824974133E-2</c:v>
                </c:pt>
                <c:pt idx="70">
                  <c:v>1.9374059928889506E-2</c:v>
                </c:pt>
                <c:pt idx="71">
                  <c:v>1.8315638888734179E-2</c:v>
                </c:pt>
                <c:pt idx="72">
                  <c:v>1.7315040272085101E-2</c:v>
                </c:pt>
                <c:pt idx="73">
                  <c:v>1.6369105191757192E-2</c:v>
                </c:pt>
              </c:numCache>
            </c:numRef>
          </c:val>
          <c:smooth val="0"/>
        </c:ser>
        <c:ser>
          <c:idx val="2"/>
          <c:order val="2"/>
          <c:tx>
            <c:v>2012</c:v>
          </c:tx>
          <c:marker>
            <c:symbol val="none"/>
          </c:marker>
          <c:val>
            <c:numRef>
              <c:f>'Inciner 3 - Total - Exponencial'!$AM$6:$AM$79</c:f>
              <c:numCache>
                <c:formatCode>General</c:formatCode>
                <c:ptCount val="74"/>
                <c:pt idx="0">
                  <c:v>0.99163184820119987</c:v>
                </c:pt>
                <c:pt idx="1">
                  <c:v>0.95082983222576778</c:v>
                </c:pt>
                <c:pt idx="2">
                  <c:v>0.91170666965815983</c:v>
                </c:pt>
                <c:pt idx="3">
                  <c:v>0.87419328183406031</c:v>
                </c:pt>
                <c:pt idx="4">
                  <c:v>0.8382234324229999</c:v>
                </c:pt>
                <c:pt idx="5">
                  <c:v>0.80373361047673531</c:v>
                </c:pt>
                <c:pt idx="6">
                  <c:v>0.77066291828975986</c:v>
                </c:pt>
                <c:pt idx="7">
                  <c:v>0.73895296387394338</c:v>
                </c:pt>
                <c:pt idx="8">
                  <c:v>0.70854775785744606</c:v>
                </c:pt>
                <c:pt idx="9">
                  <c:v>0.67939361462586423</c:v>
                </c:pt>
                <c:pt idx="10">
                  <c:v>0.65143905753105558</c:v>
                </c:pt>
                <c:pt idx="11">
                  <c:v>0.62463472800027442</c:v>
                </c:pt>
                <c:pt idx="12">
                  <c:v>0.59893329838513198</c:v>
                </c:pt>
                <c:pt idx="13">
                  <c:v>0.57428938839650279</c:v>
                </c:pt>
                <c:pt idx="14">
                  <c:v>0.55065948497782913</c:v>
                </c:pt>
                <c:pt idx="15">
                  <c:v>0.52800186547534433</c:v>
                </c:pt>
                <c:pt idx="16">
                  <c:v>0.50627652396956024</c:v>
                </c:pt>
                <c:pt idx="17">
                  <c:v>0.48544510063794399</c:v>
                </c:pt>
                <c:pt idx="18">
                  <c:v>0.46547081402406171</c:v>
                </c:pt>
                <c:pt idx="19">
                  <c:v>0.44631839609359841</c:v>
                </c:pt>
                <c:pt idx="20">
                  <c:v>0.42795402996258514</c:v>
                </c:pt>
                <c:pt idx="21">
                  <c:v>0.41034529018788096</c:v>
                </c:pt>
                <c:pt idx="22">
                  <c:v>0.39346108551448272</c:v>
                </c:pt>
                <c:pt idx="23">
                  <c:v>0.37727160397857362</c:v>
                </c:pt>
                <c:pt idx="24">
                  <c:v>0.36174826026937951</c:v>
                </c:pt>
                <c:pt idx="25">
                  <c:v>0.34686364525689234</c:v>
                </c:pt>
                <c:pt idx="26">
                  <c:v>0.33259147759634267</c:v>
                </c:pt>
                <c:pt idx="27">
                  <c:v>0.31890655732397044</c:v>
                </c:pt>
                <c:pt idx="28">
                  <c:v>0.30578472136216034</c:v>
                </c:pt>
                <c:pt idx="29">
                  <c:v>0.29320280085537731</c:v>
                </c:pt>
                <c:pt idx="30">
                  <c:v>0.28113858026157157</c:v>
                </c:pt>
                <c:pt idx="31">
                  <c:v>0.26957075812682357</c:v>
                </c:pt>
                <c:pt idx="32">
                  <c:v>0.25847890947396718</c:v>
                </c:pt>
                <c:pt idx="33">
                  <c:v>0.24784344973878408</c:v>
                </c:pt>
                <c:pt idx="34">
                  <c:v>0.23764560019009123</c:v>
                </c:pt>
                <c:pt idx="35">
                  <c:v>0.22786735477266509</c:v>
                </c:pt>
                <c:pt idx="36">
                  <c:v>0.21849144831445771</c:v>
                </c:pt>
                <c:pt idx="37">
                  <c:v>0.20950132604196997</c:v>
                </c:pt>
                <c:pt idx="38">
                  <c:v>0.20088111434995476</c:v>
                </c:pt>
                <c:pt idx="39">
                  <c:v>0.19261559277384013</c:v>
                </c:pt>
                <c:pt idx="40">
                  <c:v>0.18469016711538452</c:v>
                </c:pt>
                <c:pt idx="41">
                  <c:v>0.17709084367411268</c:v>
                </c:pt>
                <c:pt idx="42">
                  <c:v>0.16980420453903336</c:v>
                </c:pt>
                <c:pt idx="43">
                  <c:v>0.16281738389701275</c:v>
                </c:pt>
                <c:pt idx="44">
                  <c:v>0.15611804531597109</c:v>
                </c:pt>
                <c:pt idx="45">
                  <c:v>0.14969435996279248</c:v>
                </c:pt>
                <c:pt idx="46">
                  <c:v>0.14353498571748824</c:v>
                </c:pt>
                <c:pt idx="47">
                  <c:v>0.13762904714673543</c:v>
                </c:pt>
                <c:pt idx="48">
                  <c:v>0.13196611630143124</c:v>
                </c:pt>
                <c:pt idx="49">
                  <c:v>0.12653619430435736</c:v>
                </c:pt>
                <c:pt idx="50">
                  <c:v>0.12132969369544465</c:v>
                </c:pt>
                <c:pt idx="51">
                  <c:v>0.11633742150346545</c:v>
                </c:pt>
                <c:pt idx="52">
                  <c:v>0.11155056301426348</c:v>
                </c:pt>
                <c:pt idx="53">
                  <c:v>0.10696066620686187</c:v>
                </c:pt>
                <c:pt idx="54">
                  <c:v>0.10255962682996832</c:v>
                </c:pt>
                <c:pt idx="55">
                  <c:v>9.8339674092526932E-2</c:v>
                </c:pt>
                <c:pt idx="56">
                  <c:v>9.4293356943051951E-2</c:v>
                </c:pt>
                <c:pt idx="57">
                  <c:v>9.0413530913516352E-2</c:v>
                </c:pt>
                <c:pt idx="58">
                  <c:v>8.6693345504566074E-2</c:v>
                </c:pt>
                <c:pt idx="59">
                  <c:v>8.3126232089786686E-2</c:v>
                </c:pt>
                <c:pt idx="60">
                  <c:v>7.9705892317665172E-2</c:v>
                </c:pt>
                <c:pt idx="61">
                  <c:v>7.6426286990768116E-2</c:v>
                </c:pt>
                <c:pt idx="62">
                  <c:v>7.3281625402501355E-2</c:v>
                </c:pt>
                <c:pt idx="63">
                  <c:v>7.0266355112622761E-2</c:v>
                </c:pt>
                <c:pt idx="64">
                  <c:v>6.7375152143455019E-2</c:v>
                </c:pt>
                <c:pt idx="65">
                  <c:v>6.4602911579488526E-2</c:v>
                </c:pt>
                <c:pt idx="66">
                  <c:v>6.1944738553776177E-2</c:v>
                </c:pt>
                <c:pt idx="67">
                  <c:v>5.9395939605204784E-2</c:v>
                </c:pt>
                <c:pt idx="68">
                  <c:v>5.6952014391383234E-2</c:v>
                </c:pt>
                <c:pt idx="69">
                  <c:v>5.4608647742515011E-2</c:v>
                </c:pt>
                <c:pt idx="70">
                  <c:v>5.2361702042224491E-2</c:v>
                </c:pt>
                <c:pt idx="71">
                  <c:v>5.0207209921884495E-2</c:v>
                </c:pt>
                <c:pt idx="72">
                  <c:v>4.814136725554554E-2</c:v>
                </c:pt>
                <c:pt idx="73">
                  <c:v>4.6160526443097816E-2</c:v>
                </c:pt>
              </c:numCache>
            </c:numRef>
          </c:val>
          <c:smooth val="0"/>
        </c:ser>
        <c:ser>
          <c:idx val="3"/>
          <c:order val="3"/>
          <c:tx>
            <c:v>2013</c:v>
          </c:tx>
          <c:marker>
            <c:symbol val="none"/>
          </c:marker>
          <c:val>
            <c:numRef>
              <c:f>'Inciner 3 - Total - Exponencial'!$AN$6:$AN$79</c:f>
              <c:numCache>
                <c:formatCode>General</c:formatCode>
                <c:ptCount val="74"/>
                <c:pt idx="0">
                  <c:v>0.9718328750329811</c:v>
                </c:pt>
                <c:pt idx="1">
                  <c:v>0.84246044161677136</c:v>
                </c:pt>
                <c:pt idx="2">
                  <c:v>0.73031033825135727</c:v>
                </c:pt>
                <c:pt idx="3">
                  <c:v>0.63308989218918132</c:v>
                </c:pt>
                <c:pt idx="4">
                  <c:v>0.54881163609402639</c:v>
                </c:pt>
                <c:pt idx="5">
                  <c:v>0.47575267845565061</c:v>
                </c:pt>
                <c:pt idx="6">
                  <c:v>0.41241948270015788</c:v>
                </c:pt>
                <c:pt idx="7">
                  <c:v>0.35751733497916927</c:v>
                </c:pt>
                <c:pt idx="8">
                  <c:v>0.30992387647102437</c:v>
                </c:pt>
                <c:pt idx="9">
                  <c:v>0.26866615911763636</c:v>
                </c:pt>
                <c:pt idx="10">
                  <c:v>0.2329007557498447</c:v>
                </c:pt>
                <c:pt idx="11">
                  <c:v>0.20189651799465544</c:v>
                </c:pt>
                <c:pt idx="12">
                  <c:v>0.17501962948608163</c:v>
                </c:pt>
                <c:pt idx="13">
                  <c:v>0.15172064882394942</c:v>
                </c:pt>
                <c:pt idx="14">
                  <c:v>0.13152327740124015</c:v>
                </c:pt>
                <c:pt idx="15">
                  <c:v>0.11401462248184759</c:v>
                </c:pt>
                <c:pt idx="16">
                  <c:v>9.8836756477873877E-2</c:v>
                </c:pt>
                <c:pt idx="17">
                  <c:v>8.5679399873659468E-2</c:v>
                </c:pt>
                <c:pt idx="18">
                  <c:v>7.4273578214333877E-2</c:v>
                </c:pt>
                <c:pt idx="19">
                  <c:v>6.4386123489372601E-2</c:v>
                </c:pt>
                <c:pt idx="20">
                  <c:v>5.5814907503523158E-2</c:v>
                </c:pt>
                <c:pt idx="21">
                  <c:v>4.8384709791404808E-2</c:v>
                </c:pt>
                <c:pt idx="22">
                  <c:v>4.1943635603995055E-2</c:v>
                </c:pt>
                <c:pt idx="23">
                  <c:v>3.6360010740278177E-2</c:v>
                </c:pt>
                <c:pt idx="24">
                  <c:v>3.1519689745426391E-2</c:v>
                </c:pt>
                <c:pt idx="25">
                  <c:v>2.7323722447292559E-2</c:v>
                </c:pt>
                <c:pt idx="26">
                  <c:v>2.3686331128465868E-2</c:v>
                </c:pt>
                <c:pt idx="27">
                  <c:v>2.0533156981431842E-2</c:v>
                </c:pt>
                <c:pt idx="28">
                  <c:v>1.7799739999304415E-2</c:v>
                </c:pt>
                <c:pt idx="29">
                  <c:v>1.5430201226696305E-2</c:v>
                </c:pt>
                <c:pt idx="30">
                  <c:v>1.3376100432121176E-2</c:v>
                </c:pt>
                <c:pt idx="31">
                  <c:v>1.1595445849444698E-2</c:v>
                </c:pt>
                <c:pt idx="32">
                  <c:v>1.0051835744633586E-2</c:v>
                </c:pt>
                <c:pt idx="33">
                  <c:v>8.7137142589417613E-3</c:v>
                </c:pt>
                <c:pt idx="34">
                  <c:v>7.5537263158146489E-3</c:v>
                </c:pt>
                <c:pt idx="35">
                  <c:v>6.5481584039410777E-3</c:v>
                </c:pt>
                <c:pt idx="36">
                  <c:v>5.6764538044399406E-3</c:v>
                </c:pt>
                <c:pt idx="37">
                  <c:v>4.920792352021826E-3</c:v>
                </c:pt>
                <c:pt idx="38">
                  <c:v>4.2657261392274352E-3</c:v>
                </c:pt>
                <c:pt idx="39">
                  <c:v>3.697863716482932E-3</c:v>
                </c:pt>
                <c:pt idx="40">
                  <c:v>3.2055963321071241E-3</c:v>
                </c:pt>
                <c:pt idx="41">
                  <c:v>2.7788606158239107E-3</c:v>
                </c:pt>
                <c:pt idx="42">
                  <c:v>2.4089328543439271E-3</c:v>
                </c:pt>
                <c:pt idx="43">
                  <c:v>2.0882506534128749E-3</c:v>
                </c:pt>
                <c:pt idx="44">
                  <c:v>1.8102583405824968E-3</c:v>
                </c:pt>
                <c:pt idx="45">
                  <c:v>1.5692729482894032E-3</c:v>
                </c:pt>
                <c:pt idx="46">
                  <c:v>1.3603680375478939E-3</c:v>
                </c:pt>
                <c:pt idx="47">
                  <c:v>1.179272987276794E-3</c:v>
                </c:pt>
                <c:pt idx="48">
                  <c:v>1.0222856904426303E-3</c:v>
                </c:pt>
                <c:pt idx="49">
                  <c:v>8.8619687227557145E-4</c:v>
                </c:pt>
                <c:pt idx="50">
                  <c:v>7.6822448340342772E-4</c:v>
                </c:pt>
                <c:pt idx="51">
                  <c:v>6.6595682670943137E-4</c:v>
                </c:pt>
                <c:pt idx="52">
                  <c:v>5.7730325526216735E-4</c:v>
                </c:pt>
                <c:pt idx="53">
                  <c:v>5.0045143344061083E-4</c:v>
                </c:pt>
                <c:pt idx="54">
                  <c:v>4.338302875479644E-4</c:v>
                </c:pt>
                <c:pt idx="55">
                  <c:v>3.7607788851759695E-4</c:v>
                </c:pt>
                <c:pt idx="56">
                  <c:v>3.2601361014061728E-4</c:v>
                </c:pt>
                <c:pt idx="57">
                  <c:v>2.8261399364867297E-4</c:v>
                </c:pt>
                <c:pt idx="58">
                  <c:v>2.449918252541729E-4</c:v>
                </c:pt>
                <c:pt idx="59">
                  <c:v>2.1237799893230065E-4</c:v>
                </c:pt>
                <c:pt idx="60">
                  <c:v>1.8410579366757919E-4</c:v>
                </c:pt>
                <c:pt idx="61">
                  <c:v>1.5959724374639141E-4</c:v>
                </c:pt>
                <c:pt idx="62">
                  <c:v>1.3835132346478942E-4</c:v>
                </c:pt>
                <c:pt idx="63">
                  <c:v>1.1993370471281473E-4</c:v>
                </c:pt>
                <c:pt idx="64">
                  <c:v>1.0396787805070336E-4</c:v>
                </c:pt>
                <c:pt idx="65">
                  <c:v>9.0127455766076775E-5</c:v>
                </c:pt>
                <c:pt idx="66">
                  <c:v>7.8129499564323933E-5</c:v>
                </c:pt>
                <c:pt idx="67">
                  <c:v>6.7728736490853898E-5</c:v>
                </c:pt>
                <c:pt idx="68">
                  <c:v>5.8712544841924943E-5</c:v>
                </c:pt>
                <c:pt idx="69">
                  <c:v>5.0896607561556189E-5</c:v>
                </c:pt>
                <c:pt idx="70">
                  <c:v>4.4121144267371066E-5</c:v>
                </c:pt>
                <c:pt idx="71">
                  <c:v>3.8247644877073414E-5</c:v>
                </c:pt>
                <c:pt idx="72">
                  <c:v>3.3156038061428215E-5</c:v>
                </c:pt>
                <c:pt idx="73">
                  <c:v>2.8742236638727934E-5</c:v>
                </c:pt>
              </c:numCache>
            </c:numRef>
          </c:val>
          <c:smooth val="0"/>
        </c:ser>
        <c:ser>
          <c:idx val="4"/>
          <c:order val="4"/>
          <c:tx>
            <c:v>2014</c:v>
          </c:tx>
          <c:marker>
            <c:symbol val="none"/>
          </c:marker>
          <c:val>
            <c:numRef>
              <c:f>'Inciner 3 - Total - Exponencial'!$AO$6:$AO$79</c:f>
              <c:numCache>
                <c:formatCode>General</c:formatCode>
                <c:ptCount val="74"/>
                <c:pt idx="0">
                  <c:v>0.98319367626271825</c:v>
                </c:pt>
                <c:pt idx="1">
                  <c:v>0.90330509423984429</c:v>
                </c:pt>
                <c:pt idx="2">
                  <c:v>0.82990779230929679</c:v>
                </c:pt>
                <c:pt idx="3">
                  <c:v>0.76247432692194672</c:v>
                </c:pt>
                <c:pt idx="4">
                  <c:v>0.70052011151427662</c:v>
                </c:pt>
                <c:pt idx="5">
                  <c:v>0.64359993419976425</c:v>
                </c:pt>
                <c:pt idx="6">
                  <c:v>0.59130475841234875</c:v>
                </c:pt>
                <c:pt idx="7">
                  <c:v>0.54325878351094181</c:v>
                </c:pt>
                <c:pt idx="8">
                  <c:v>0.49911674422206859</c:v>
                </c:pt>
                <c:pt idx="9">
                  <c:v>0.45856142951404361</c:v>
                </c:pt>
                <c:pt idx="10">
                  <c:v>0.42130140307295599</c:v>
                </c:pt>
                <c:pt idx="11">
                  <c:v>0.38706890899947682</c:v>
                </c:pt>
                <c:pt idx="12">
                  <c:v>0.35561794767652555</c:v>
                </c:pt>
                <c:pt idx="13">
                  <c:v>0.32672250798070429</c:v>
                </c:pt>
                <c:pt idx="14">
                  <c:v>0.30017494313391713</c:v>
                </c:pt>
                <c:pt idx="15">
                  <c:v>0.27578447852381149</c:v>
                </c:pt>
                <c:pt idx="16">
                  <c:v>0.25337584077002484</c:v>
                </c:pt>
                <c:pt idx="17">
                  <c:v>0.23278799818450968</c:v>
                </c:pt>
                <c:pt idx="18">
                  <c:v>0.21387300357470454</c:v>
                </c:pt>
                <c:pt idx="19">
                  <c:v>0.19649493107376759</c:v>
                </c:pt>
                <c:pt idx="20">
                  <c:v>0.18052889935778341</c:v>
                </c:pt>
                <c:pt idx="21">
                  <c:v>0.16586017423064001</c:v>
                </c:pt>
                <c:pt idx="22">
                  <c:v>0.15238334412762369</c:v>
                </c:pt>
                <c:pt idx="23">
                  <c:v>0.14000156261278149</c:v>
                </c:pt>
                <c:pt idx="24">
                  <c:v>0.12862585242652813</c:v>
                </c:pt>
                <c:pt idx="25">
                  <c:v>0.11817446608228456</c:v>
                </c:pt>
                <c:pt idx="26">
                  <c:v>0.10857229841730333</c:v>
                </c:pt>
                <c:pt idx="27">
                  <c:v>9.9750346876185988E-2</c:v>
                </c:pt>
                <c:pt idx="28">
                  <c:v>9.164521564861397E-2</c:v>
                </c:pt>
                <c:pt idx="29">
                  <c:v>8.4198660097953626E-2</c:v>
                </c:pt>
                <c:pt idx="30">
                  <c:v>7.735716820693575E-2</c:v>
                </c:pt>
                <c:pt idx="31">
                  <c:v>7.107157603261656E-2</c:v>
                </c:pt>
                <c:pt idx="32">
                  <c:v>6.5296714407225634E-2</c:v>
                </c:pt>
                <c:pt idx="33">
                  <c:v>5.9991084346041286E-2</c:v>
                </c:pt>
                <c:pt idx="34">
                  <c:v>5.5116558829728636E-2</c:v>
                </c:pt>
                <c:pt idx="35">
                  <c:v>5.063810881810471E-2</c:v>
                </c:pt>
                <c:pt idx="36">
                  <c:v>4.6523551526426808E-2</c:v>
                </c:pt>
                <c:pt idx="37">
                  <c:v>4.2743319155280818E-2</c:v>
                </c:pt>
                <c:pt idx="38">
                  <c:v>3.927024641212977E-2</c:v>
                </c:pt>
                <c:pt idx="39">
                  <c:v>3.6079375297621494E-2</c:v>
                </c:pt>
                <c:pt idx="40">
                  <c:v>3.3147775753822259E-2</c:v>
                </c:pt>
                <c:pt idx="41">
                  <c:v>3.0454380885528307E-2</c:v>
                </c:pt>
                <c:pt idx="42">
                  <c:v>2.7979835570532546E-2</c:v>
                </c:pt>
                <c:pt idx="43">
                  <c:v>2.5706357370937478E-2</c:v>
                </c:pt>
                <c:pt idx="44">
                  <c:v>2.3617608746003591E-2</c:v>
                </c:pt>
                <c:pt idx="45">
                  <c:v>2.1698579648235988E-2</c:v>
                </c:pt>
                <c:pt idx="46">
                  <c:v>1.9935479659028203E-2</c:v>
                </c:pt>
                <c:pt idx="47">
                  <c:v>1.8315638888734179E-2</c:v>
                </c:pt>
                <c:pt idx="48">
                  <c:v>1.6827416929022353E-2</c:v>
                </c:pt>
                <c:pt idx="49">
                  <c:v>1.5460119203230144E-2</c:v>
                </c:pt>
                <c:pt idx="50">
                  <c:v>1.4203920113600683E-2</c:v>
                </c:pt>
                <c:pt idx="51">
                  <c:v>1.3049792433126746E-2</c:v>
                </c:pt>
                <c:pt idx="52">
                  <c:v>1.1989442434601379E-2</c:v>
                </c:pt>
                <c:pt idx="53">
                  <c:v>1.101525029070353E-2</c:v>
                </c:pt>
                <c:pt idx="54">
                  <c:v>1.0120215316824985E-2</c:v>
                </c:pt>
                <c:pt idx="55">
                  <c:v>9.2979056631456412E-3</c:v>
                </c:pt>
                <c:pt idx="56">
                  <c:v>8.5424120944373426E-3</c:v>
                </c:pt>
                <c:pt idx="57">
                  <c:v>7.8483055254511321E-3</c:v>
                </c:pt>
                <c:pt idx="58">
                  <c:v>7.2105980067312513E-3</c:v>
                </c:pt>
                <c:pt idx="59">
                  <c:v>6.6247068804941916E-3</c:v>
                </c:pt>
                <c:pt idx="60">
                  <c:v>6.0864218489919755E-3</c:v>
                </c:pt>
                <c:pt idx="61">
                  <c:v>5.5918747187080698E-3</c:v>
                </c:pt>
                <c:pt idx="62">
                  <c:v>5.1375116029634413E-3</c:v>
                </c:pt>
                <c:pt idx="63">
                  <c:v>4.7200673831766368E-3</c:v>
                </c:pt>
                <c:pt idx="64">
                  <c:v>4.336542245252907E-3</c:v>
                </c:pt>
                <c:pt idx="65">
                  <c:v>3.9841801224894408E-3</c:v>
                </c:pt>
                <c:pt idx="66">
                  <c:v>3.6604488900843714E-3</c:v>
                </c:pt>
                <c:pt idx="67">
                  <c:v>3.363022168924396E-3</c:v>
                </c:pt>
                <c:pt idx="68">
                  <c:v>3.0897626078904934E-3</c:v>
                </c:pt>
                <c:pt idx="69">
                  <c:v>2.83870652454592E-3</c:v>
                </c:pt>
                <c:pt idx="70">
                  <c:v>2.6080497938323101E-3</c:v>
                </c:pt>
                <c:pt idx="71">
                  <c:v>2.396134883367978E-3</c:v>
                </c:pt>
                <c:pt idx="72">
                  <c:v>2.2014389421822645E-3</c:v>
                </c:pt>
                <c:pt idx="73">
                  <c:v>2.0225628572898267E-3</c:v>
                </c:pt>
              </c:numCache>
            </c:numRef>
          </c:val>
          <c:smooth val="0"/>
        </c:ser>
        <c:ser>
          <c:idx val="5"/>
          <c:order val="5"/>
          <c:tx>
            <c:v>2015</c:v>
          </c:tx>
          <c:marker>
            <c:symbol val="none"/>
          </c:marker>
          <c:val>
            <c:numRef>
              <c:f>'Inciner 3 - Total - Exponencial'!$AP$6:$AP$79</c:f>
              <c:numCache>
                <c:formatCode>General</c:formatCode>
                <c:ptCount val="74"/>
                <c:pt idx="0">
                  <c:v>0.99442898380825406</c:v>
                </c:pt>
                <c:pt idx="1">
                  <c:v>0.96703600252135291</c:v>
                </c:pt>
                <c:pt idx="2">
                  <c:v>0.94039760043115894</c:v>
                </c:pt>
                <c:pt idx="3">
                  <c:v>0.91449299156486641</c:v>
                </c:pt>
                <c:pt idx="4">
                  <c:v>0.88930196252928373</c:v>
                </c:pt>
                <c:pt idx="5">
                  <c:v>0.8648048567383021</c:v>
                </c:pt>
                <c:pt idx="6">
                  <c:v>0.84098255907484076</c:v>
                </c:pt>
                <c:pt idx="7">
                  <c:v>0.81781648097530157</c:v>
                </c:pt>
                <c:pt idx="8">
                  <c:v>0.79528854592489329</c:v>
                </c:pt>
                <c:pt idx="9">
                  <c:v>0.77338117535250839</c:v>
                </c:pt>
                <c:pt idx="10">
                  <c:v>0.752077274914146</c:v>
                </c:pt>
                <c:pt idx="11">
                  <c:v>0.73136022115417709</c:v>
                </c:pt>
                <c:pt idx="12">
                  <c:v>0.71121384853404512</c:v>
                </c:pt>
                <c:pt idx="13">
                  <c:v>0.69162243681827928</c:v>
                </c:pt>
                <c:pt idx="14">
                  <c:v>0.67257069880797882</c:v>
                </c:pt>
                <c:pt idx="15">
                  <c:v>0.65404376841219558</c:v>
                </c:pt>
                <c:pt idx="16">
                  <c:v>0.63602718904790756</c:v>
                </c:pt>
                <c:pt idx="17">
                  <c:v>0.61850690235953287</c:v>
                </c:pt>
                <c:pt idx="18">
                  <c:v>0.60146923724917967</c:v>
                </c:pt>
                <c:pt idx="19">
                  <c:v>0.5849008992090744</c:v>
                </c:pt>
                <c:pt idx="20">
                  <c:v>0.56878895994784373</c:v>
                </c:pt>
                <c:pt idx="21">
                  <c:v>0.5531208473025554</c:v>
                </c:pt>
                <c:pt idx="22">
                  <c:v>0.53788433542864633</c:v>
                </c:pt>
                <c:pt idx="23">
                  <c:v>0.52306753526008321</c:v>
                </c:pt>
                <c:pt idx="24">
                  <c:v>0.50865888523231229</c:v>
                </c:pt>
                <c:pt idx="25">
                  <c:v>0.4946471422607584</c:v>
                </c:pt>
                <c:pt idx="26">
                  <c:v>0.48102137296783437</c:v>
                </c:pt>
                <c:pt idx="27">
                  <c:v>0.46777094515161527</c:v>
                </c:pt>
                <c:pt idx="28">
                  <c:v>0.45488551948951989</c:v>
                </c:pt>
                <c:pt idx="29">
                  <c:v>0.44235504147052696</c:v>
                </c:pt>
                <c:pt idx="30">
                  <c:v>0.43016973354962967</c:v>
                </c:pt>
                <c:pt idx="31">
                  <c:v>0.41832008751840699</c:v>
                </c:pt>
                <c:pt idx="32">
                  <c:v>0.40679685708575891</c:v>
                </c:pt>
                <c:pt idx="33">
                  <c:v>0.39559105066301581</c:v>
                </c:pt>
                <c:pt idx="34">
                  <c:v>0.38469392434779259</c:v>
                </c:pt>
                <c:pt idx="35">
                  <c:v>0.37409697510111256</c:v>
                </c:pt>
                <c:pt idx="36">
                  <c:v>0.36379193411247712</c:v>
                </c:pt>
                <c:pt idx="37">
                  <c:v>0.35377076034770455</c:v>
                </c:pt>
                <c:pt idx="38">
                  <c:v>0.34402563427450272</c:v>
                </c:pt>
                <c:pt idx="39">
                  <c:v>0.33454895176087951</c:v>
                </c:pt>
                <c:pt idx="40">
                  <c:v>0.32533331814163124</c:v>
                </c:pt>
                <c:pt idx="41">
                  <c:v>0.31637154244827759</c:v>
                </c:pt>
                <c:pt idx="42">
                  <c:v>0.30765663179794123</c:v>
                </c:pt>
                <c:pt idx="43">
                  <c:v>0.29918178593679412</c:v>
                </c:pt>
                <c:pt idx="44">
                  <c:v>0.29094039193381266</c:v>
                </c:pt>
                <c:pt idx="45">
                  <c:v>0.28292601902070036</c:v>
                </c:pt>
                <c:pt idx="46">
                  <c:v>0.27513241357395296</c:v>
                </c:pt>
                <c:pt idx="47">
                  <c:v>0.26755349423514935</c:v>
                </c:pt>
                <c:pt idx="48">
                  <c:v>0.26018334716566116</c:v>
                </c:pt>
                <c:pt idx="49">
                  <c:v>0.2530162214320788</c:v>
                </c:pt>
                <c:pt idx="50">
                  <c:v>0.24604652451875172</c:v>
                </c:pt>
                <c:pt idx="51">
                  <c:v>0.23926881796394273</c:v>
                </c:pt>
                <c:pt idx="52">
                  <c:v>0.23267781311619076</c:v>
                </c:pt>
                <c:pt idx="53">
                  <c:v>0.22626836700757058</c:v>
                </c:pt>
                <c:pt idx="54">
                  <c:v>0.22003547834062961</c:v>
                </c:pt>
                <c:pt idx="55">
                  <c:v>0.21397428358587031</c:v>
                </c:pt>
                <c:pt idx="56">
                  <c:v>0.20808005318673303</c:v>
                </c:pt>
                <c:pt idx="57">
                  <c:v>0.2023481878691181</c:v>
                </c:pt>
                <c:pt idx="58">
                  <c:v>0.19677421505256759</c:v>
                </c:pt>
                <c:pt idx="59">
                  <c:v>0.19135378536030612</c:v>
                </c:pt>
                <c:pt idx="60">
                  <c:v>0.1860826692254175</c:v>
                </c:pt>
                <c:pt idx="61">
                  <c:v>0.18095675359050942</c:v>
                </c:pt>
                <c:pt idx="62">
                  <c:v>0.1759720386982904</c:v>
                </c:pt>
                <c:pt idx="63">
                  <c:v>0.17112463497055513</c:v>
                </c:pt>
                <c:pt idx="64">
                  <c:v>0.16641075997314245</c:v>
                </c:pt>
                <c:pt idx="65">
                  <c:v>0.16182673546449816</c:v>
                </c:pt>
                <c:pt idx="66">
                  <c:v>0.15736898452553913</c:v>
                </c:pt>
                <c:pt idx="67">
                  <c:v>0.15303402876857986</c:v>
                </c:pt>
                <c:pt idx="68">
                  <c:v>0.14881848562314282</c:v>
                </c:pt>
                <c:pt idx="69">
                  <c:v>0.14471906569653517</c:v>
                </c:pt>
                <c:pt idx="70">
                  <c:v>0.14073257020713237</c:v>
                </c:pt>
                <c:pt idx="71">
                  <c:v>0.13685588848836538</c:v>
                </c:pt>
                <c:pt idx="72">
                  <c:v>0.13308599556146444</c:v>
                </c:pt>
                <c:pt idx="73">
                  <c:v>0.12941994977506494</c:v>
                </c:pt>
              </c:numCache>
            </c:numRef>
          </c:val>
          <c:smooth val="0"/>
        </c:ser>
        <c:dLbls>
          <c:showLegendKey val="0"/>
          <c:showVal val="0"/>
          <c:showCatName val="0"/>
          <c:showSerName val="0"/>
          <c:showPercent val="0"/>
          <c:showBubbleSize val="0"/>
        </c:dLbls>
        <c:marker val="1"/>
        <c:smooth val="0"/>
        <c:axId val="120186752"/>
        <c:axId val="120188288"/>
      </c:lineChart>
      <c:catAx>
        <c:axId val="120186752"/>
        <c:scaling>
          <c:orientation val="minMax"/>
        </c:scaling>
        <c:delete val="0"/>
        <c:axPos val="b"/>
        <c:numFmt formatCode="General" sourceLinked="1"/>
        <c:majorTickMark val="out"/>
        <c:minorTickMark val="none"/>
        <c:tickLblPos val="nextTo"/>
        <c:crossAx val="120188288"/>
        <c:crosses val="autoZero"/>
        <c:auto val="1"/>
        <c:lblAlgn val="ctr"/>
        <c:lblOffset val="100"/>
        <c:noMultiLvlLbl val="0"/>
      </c:catAx>
      <c:valAx>
        <c:axId val="120188288"/>
        <c:scaling>
          <c:orientation val="minMax"/>
          <c:max val="1"/>
        </c:scaling>
        <c:delete val="0"/>
        <c:axPos val="l"/>
        <c:majorGridlines/>
        <c:numFmt formatCode="General" sourceLinked="1"/>
        <c:majorTickMark val="out"/>
        <c:minorTickMark val="none"/>
        <c:tickLblPos val="nextTo"/>
        <c:crossAx val="120186752"/>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134.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pt-PT"/>
              <a:t>Forno</a:t>
            </a:r>
            <a:r>
              <a:rPr lang="pt-PT" baseline="0"/>
              <a:t> 3 - Electrofiltro</a:t>
            </a:r>
            <a:endParaRPr lang="pt-PT"/>
          </a:p>
        </c:rich>
      </c:tx>
      <c:overlay val="0"/>
    </c:title>
    <c:autoTitleDeleted val="0"/>
    <c:plotArea>
      <c:layout/>
      <c:lineChart>
        <c:grouping val="standard"/>
        <c:varyColors val="0"/>
        <c:ser>
          <c:idx val="1"/>
          <c:order val="0"/>
          <c:tx>
            <c:v>2011</c:v>
          </c:tx>
          <c:marker>
            <c:symbol val="none"/>
          </c:marker>
          <c:val>
            <c:numRef>
              <c:f>'Inciner 3 - Total - Exponencial'!$AQ$6:$AQ$79</c:f>
              <c:numCache>
                <c:formatCode>General</c:formatCode>
                <c:ptCount val="74"/>
                <c:pt idx="0">
                  <c:v>0.99721836062779279</c:v>
                </c:pt>
                <c:pt idx="1">
                  <c:v>0.98342579696807908</c:v>
                </c:pt>
                <c:pt idx="2">
                  <c:v>0.96982399876136749</c:v>
                </c:pt>
                <c:pt idx="3">
                  <c:v>0.95641032752369259</c:v>
                </c:pt>
                <c:pt idx="4">
                  <c:v>0.94318218126405728</c:v>
                </c:pt>
                <c:pt idx="5">
                  <c:v>0.93013699397969707</c:v>
                </c:pt>
                <c:pt idx="6">
                  <c:v>0.9172722351583259</c:v>
                </c:pt>
                <c:pt idx="7">
                  <c:v>0.9045854092872655</c:v>
                </c:pt>
                <c:pt idx="8">
                  <c:v>0.89207405536936502</c:v>
                </c:pt>
                <c:pt idx="9">
                  <c:v>0.87973574644561525</c:v>
                </c:pt>
                <c:pt idx="10">
                  <c:v>0.867568089124366</c:v>
                </c:pt>
                <c:pt idx="11">
                  <c:v>0.85556872311705456</c:v>
                </c:pt>
                <c:pt idx="12">
                  <c:v>0.84373532078035562</c:v>
                </c:pt>
                <c:pt idx="13">
                  <c:v>0.83206558666466413</c:v>
                </c:pt>
                <c:pt idx="14">
                  <c:v>0.82055725706882254</c:v>
                </c:pt>
                <c:pt idx="15">
                  <c:v>0.80920809960100692</c:v>
                </c:pt>
                <c:pt idx="16">
                  <c:v>0.79801591274568617</c:v>
                </c:pt>
                <c:pt idx="17">
                  <c:v>0.78697852543657143</c:v>
                </c:pt>
                <c:pt idx="18">
                  <c:v>0.77609379663547085</c:v>
                </c:pt>
                <c:pt idx="19">
                  <c:v>0.76535961491697058</c:v>
                </c:pt>
                <c:pt idx="20">
                  <c:v>0.75477389805885875</c:v>
                </c:pt>
                <c:pt idx="21">
                  <c:v>0.74433459263821511</c:v>
                </c:pt>
                <c:pt idx="22">
                  <c:v>0.73403967363308709</c:v>
                </c:pt>
                <c:pt idx="23">
                  <c:v>0.7238871440296748</c:v>
                </c:pt>
                <c:pt idx="24">
                  <c:v>0.7138750344349496</c:v>
                </c:pt>
                <c:pt idx="25">
                  <c:v>0.70400140269462974</c:v>
                </c:pt>
                <c:pt idx="26">
                  <c:v>0.69426433351644024</c:v>
                </c:pt>
                <c:pt idx="27">
                  <c:v>0.68466193809858422</c:v>
                </c:pt>
                <c:pt idx="28">
                  <c:v>0.67519235376335118</c:v>
                </c:pt>
                <c:pt idx="29">
                  <c:v>0.66585374359579441</c:v>
                </c:pt>
                <c:pt idx="30">
                  <c:v>0.65664429608740515</c:v>
                </c:pt>
                <c:pt idx="31">
                  <c:v>0.64756222478471492</c:v>
                </c:pt>
                <c:pt idx="32">
                  <c:v>0.63860576794275881</c:v>
                </c:pt>
                <c:pt idx="33">
                  <c:v>0.62977318818333095</c:v>
                </c:pt>
                <c:pt idx="34">
                  <c:v>0.62106277215796701</c:v>
                </c:pt>
                <c:pt idx="35">
                  <c:v>0.61247283021558807</c:v>
                </c:pt>
                <c:pt idx="36">
                  <c:v>0.60400169607474108</c:v>
                </c:pt>
                <c:pt idx="37">
                  <c:v>0.5956477265003729</c:v>
                </c:pt>
                <c:pt idx="38">
                  <c:v>0.58740930098507438</c:v>
                </c:pt>
                <c:pt idx="39">
                  <c:v>0.57928482143473381</c:v>
                </c:pt>
                <c:pt idx="40">
                  <c:v>0.57127271185853779</c:v>
                </c:pt>
                <c:pt idx="41">
                  <c:v>0.56337141806325919</c:v>
                </c:pt>
                <c:pt idx="42">
                  <c:v>0.5555794073517748</c:v>
                </c:pt>
                <c:pt idx="43">
                  <c:v>0.54789516822575102</c:v>
                </c:pt>
                <c:pt idx="44">
                  <c:v>0.54031721009244316</c:v>
                </c:pt>
                <c:pt idx="45">
                  <c:v>0.53284406297554965</c:v>
                </c:pt>
                <c:pt idx="46">
                  <c:v>0.52547427723006446</c:v>
                </c:pt>
                <c:pt idx="47">
                  <c:v>0.51820642326107513</c:v>
                </c:pt>
                <c:pt idx="48">
                  <c:v>0.51103909124644864</c:v>
                </c:pt>
                <c:pt idx="49">
                  <c:v>0.50397089086335345</c:v>
                </c:pt>
                <c:pt idx="50">
                  <c:v>0.4970004510185641</c:v>
                </c:pt>
                <c:pt idx="51">
                  <c:v>0.49012641958249575</c:v>
                </c:pt>
                <c:pt idx="52">
                  <c:v>0.48334746312691729</c:v>
                </c:pt>
                <c:pt idx="53">
                  <c:v>0.47666226666629236</c:v>
                </c:pt>
                <c:pt idx="54">
                  <c:v>0.47006953340269758</c:v>
                </c:pt>
                <c:pt idx="55">
                  <c:v>0.46356798447426928</c:v>
                </c:pt>
                <c:pt idx="56">
                  <c:v>0.45715635870712901</c:v>
                </c:pt>
                <c:pt idx="57">
                  <c:v>0.45083341237074037</c:v>
                </c:pt>
                <c:pt idx="58">
                  <c:v>0.44459791893664952</c:v>
                </c:pt>
                <c:pt idx="59">
                  <c:v>0.43844866884056272</c:v>
                </c:pt>
                <c:pt idx="60">
                  <c:v>0.43238446924771412</c:v>
                </c:pt>
                <c:pt idx="61">
                  <c:v>0.42640414382147923</c:v>
                </c:pt>
                <c:pt idx="62">
                  <c:v>0.42050653249518855</c:v>
                </c:pt>
                <c:pt idx="63">
                  <c:v>0.41469049124709711</c:v>
                </c:pt>
                <c:pt idx="64">
                  <c:v>0.40895489187846656</c:v>
                </c:pt>
                <c:pt idx="65">
                  <c:v>0.40329862179471665</c:v>
                </c:pt>
                <c:pt idx="66">
                  <c:v>0.39772058378960357</c:v>
                </c:pt>
                <c:pt idx="67">
                  <c:v>0.39221969583238303</c:v>
                </c:pt>
                <c:pt idx="68">
                  <c:v>0.38679489085791779</c:v>
                </c:pt>
                <c:pt idx="69">
                  <c:v>0.38144511655968755</c:v>
                </c:pt>
                <c:pt idx="70">
                  <c:v>0.37616933518566198</c:v>
                </c:pt>
                <c:pt idx="71">
                  <c:v>0.37096652333699709</c:v>
                </c:pt>
                <c:pt idx="72">
                  <c:v>0.36583567176951587</c:v>
                </c:pt>
                <c:pt idx="73">
                  <c:v>0.36077578519793424</c:v>
                </c:pt>
              </c:numCache>
            </c:numRef>
          </c:val>
          <c:smooth val="0"/>
        </c:ser>
        <c:ser>
          <c:idx val="3"/>
          <c:order val="1"/>
          <c:tx>
            <c:v>2013</c:v>
          </c:tx>
          <c:marker>
            <c:symbol val="none"/>
          </c:marker>
          <c:val>
            <c:numRef>
              <c:f>'Inciner 3 - Total - Exponencial'!$AR$6:$AR$79</c:f>
              <c:numCache>
                <c:formatCode>General</c:formatCode>
                <c:ptCount val="74"/>
                <c:pt idx="0">
                  <c:v>0.99721836062779279</c:v>
                </c:pt>
                <c:pt idx="1">
                  <c:v>0.98342579696807908</c:v>
                </c:pt>
                <c:pt idx="2">
                  <c:v>0.96982399876136749</c:v>
                </c:pt>
                <c:pt idx="3">
                  <c:v>0.95641032752369259</c:v>
                </c:pt>
                <c:pt idx="4">
                  <c:v>0.94318218126405728</c:v>
                </c:pt>
                <c:pt idx="5">
                  <c:v>0.93013699397969707</c:v>
                </c:pt>
                <c:pt idx="6">
                  <c:v>0.9172722351583259</c:v>
                </c:pt>
                <c:pt idx="7">
                  <c:v>0.9045854092872655</c:v>
                </c:pt>
                <c:pt idx="8">
                  <c:v>0.89207405536936502</c:v>
                </c:pt>
                <c:pt idx="9">
                  <c:v>0.87973574644561525</c:v>
                </c:pt>
                <c:pt idx="10">
                  <c:v>0.867568089124366</c:v>
                </c:pt>
                <c:pt idx="11">
                  <c:v>0.85556872311705456</c:v>
                </c:pt>
                <c:pt idx="12">
                  <c:v>0.84373532078035562</c:v>
                </c:pt>
                <c:pt idx="13">
                  <c:v>0.83206558666466413</c:v>
                </c:pt>
                <c:pt idx="14">
                  <c:v>0.82055725706882254</c:v>
                </c:pt>
                <c:pt idx="15">
                  <c:v>0.80920809960100692</c:v>
                </c:pt>
                <c:pt idx="16">
                  <c:v>0.79801591274568617</c:v>
                </c:pt>
                <c:pt idx="17">
                  <c:v>0.78697852543657143</c:v>
                </c:pt>
                <c:pt idx="18">
                  <c:v>0.77609379663547085</c:v>
                </c:pt>
                <c:pt idx="19">
                  <c:v>0.76535961491697058</c:v>
                </c:pt>
                <c:pt idx="20">
                  <c:v>0.75477389805885875</c:v>
                </c:pt>
                <c:pt idx="21">
                  <c:v>0.74433459263821511</c:v>
                </c:pt>
                <c:pt idx="22">
                  <c:v>0.73403967363308709</c:v>
                </c:pt>
                <c:pt idx="23">
                  <c:v>0.7238871440296748</c:v>
                </c:pt>
                <c:pt idx="24">
                  <c:v>0.7138750344349496</c:v>
                </c:pt>
                <c:pt idx="25">
                  <c:v>0.70400140269462974</c:v>
                </c:pt>
                <c:pt idx="26">
                  <c:v>0.69426433351644024</c:v>
                </c:pt>
                <c:pt idx="27">
                  <c:v>0.68466193809858422</c:v>
                </c:pt>
                <c:pt idx="28">
                  <c:v>0.67519235376335118</c:v>
                </c:pt>
                <c:pt idx="29">
                  <c:v>0.66585374359579441</c:v>
                </c:pt>
                <c:pt idx="30">
                  <c:v>0.65664429608740515</c:v>
                </c:pt>
                <c:pt idx="31">
                  <c:v>0.64756222478471492</c:v>
                </c:pt>
                <c:pt idx="32">
                  <c:v>0.63860576794275881</c:v>
                </c:pt>
                <c:pt idx="33">
                  <c:v>0.62977318818333095</c:v>
                </c:pt>
                <c:pt idx="34">
                  <c:v>0.62106277215796701</c:v>
                </c:pt>
                <c:pt idx="35">
                  <c:v>0.61247283021558807</c:v>
                </c:pt>
                <c:pt idx="36">
                  <c:v>0.60400169607474108</c:v>
                </c:pt>
                <c:pt idx="37">
                  <c:v>0.5956477265003729</c:v>
                </c:pt>
                <c:pt idx="38">
                  <c:v>0.58740930098507438</c:v>
                </c:pt>
                <c:pt idx="39">
                  <c:v>0.57928482143473381</c:v>
                </c:pt>
                <c:pt idx="40">
                  <c:v>0.57127271185853779</c:v>
                </c:pt>
                <c:pt idx="41">
                  <c:v>0.56337141806325919</c:v>
                </c:pt>
                <c:pt idx="42">
                  <c:v>0.5555794073517748</c:v>
                </c:pt>
                <c:pt idx="43">
                  <c:v>0.54789516822575102</c:v>
                </c:pt>
                <c:pt idx="44">
                  <c:v>0.54031721009244316</c:v>
                </c:pt>
                <c:pt idx="45">
                  <c:v>0.53284406297554965</c:v>
                </c:pt>
                <c:pt idx="46">
                  <c:v>0.52547427723006446</c:v>
                </c:pt>
                <c:pt idx="47">
                  <c:v>0.51820642326107513</c:v>
                </c:pt>
                <c:pt idx="48">
                  <c:v>0.51103909124644864</c:v>
                </c:pt>
                <c:pt idx="49">
                  <c:v>0.50397089086335345</c:v>
                </c:pt>
                <c:pt idx="50">
                  <c:v>0.4970004510185641</c:v>
                </c:pt>
                <c:pt idx="51">
                  <c:v>0.49012641958249575</c:v>
                </c:pt>
                <c:pt idx="52">
                  <c:v>0.48334746312691729</c:v>
                </c:pt>
                <c:pt idx="53">
                  <c:v>0.47666226666629236</c:v>
                </c:pt>
                <c:pt idx="54">
                  <c:v>0.47006953340269758</c:v>
                </c:pt>
                <c:pt idx="55">
                  <c:v>0.46356798447426928</c:v>
                </c:pt>
                <c:pt idx="56">
                  <c:v>0.45715635870712901</c:v>
                </c:pt>
                <c:pt idx="57">
                  <c:v>0.45083341237074037</c:v>
                </c:pt>
                <c:pt idx="58">
                  <c:v>0.44459791893664952</c:v>
                </c:pt>
                <c:pt idx="59">
                  <c:v>0.43844866884056272</c:v>
                </c:pt>
                <c:pt idx="60">
                  <c:v>0.43238446924771412</c:v>
                </c:pt>
                <c:pt idx="61">
                  <c:v>0.42640414382147923</c:v>
                </c:pt>
                <c:pt idx="62">
                  <c:v>0.42050653249518855</c:v>
                </c:pt>
                <c:pt idx="63">
                  <c:v>0.41469049124709711</c:v>
                </c:pt>
                <c:pt idx="64">
                  <c:v>0.40895489187846656</c:v>
                </c:pt>
                <c:pt idx="65">
                  <c:v>0.40329862179471665</c:v>
                </c:pt>
                <c:pt idx="66">
                  <c:v>0.39772058378960357</c:v>
                </c:pt>
                <c:pt idx="67">
                  <c:v>0.39221969583238303</c:v>
                </c:pt>
                <c:pt idx="68">
                  <c:v>0.38679489085791779</c:v>
                </c:pt>
                <c:pt idx="69">
                  <c:v>0.38144511655968755</c:v>
                </c:pt>
                <c:pt idx="70">
                  <c:v>0.37616933518566198</c:v>
                </c:pt>
                <c:pt idx="71">
                  <c:v>0.37096652333699709</c:v>
                </c:pt>
                <c:pt idx="72">
                  <c:v>0.36583567176951587</c:v>
                </c:pt>
                <c:pt idx="73">
                  <c:v>0.36077578519793424</c:v>
                </c:pt>
              </c:numCache>
            </c:numRef>
          </c:val>
          <c:smooth val="0"/>
        </c:ser>
        <c:dLbls>
          <c:showLegendKey val="0"/>
          <c:showVal val="0"/>
          <c:showCatName val="0"/>
          <c:showSerName val="0"/>
          <c:showPercent val="0"/>
          <c:showBubbleSize val="0"/>
        </c:dLbls>
        <c:marker val="1"/>
        <c:smooth val="0"/>
        <c:axId val="119828864"/>
        <c:axId val="119830400"/>
      </c:lineChart>
      <c:catAx>
        <c:axId val="119828864"/>
        <c:scaling>
          <c:orientation val="minMax"/>
        </c:scaling>
        <c:delete val="0"/>
        <c:axPos val="b"/>
        <c:numFmt formatCode="General" sourceLinked="1"/>
        <c:majorTickMark val="out"/>
        <c:minorTickMark val="none"/>
        <c:tickLblPos val="nextTo"/>
        <c:crossAx val="119830400"/>
        <c:crosses val="autoZero"/>
        <c:auto val="1"/>
        <c:lblAlgn val="ctr"/>
        <c:lblOffset val="100"/>
        <c:noMultiLvlLbl val="0"/>
      </c:catAx>
      <c:valAx>
        <c:axId val="119830400"/>
        <c:scaling>
          <c:orientation val="minMax"/>
          <c:max val="1"/>
        </c:scaling>
        <c:delete val="0"/>
        <c:axPos val="l"/>
        <c:majorGridlines/>
        <c:numFmt formatCode="General" sourceLinked="1"/>
        <c:majorTickMark val="out"/>
        <c:minorTickMark val="none"/>
        <c:tickLblPos val="nextTo"/>
        <c:crossAx val="119828864"/>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135.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pt-PT"/>
              <a:t>Forno</a:t>
            </a:r>
            <a:r>
              <a:rPr lang="pt-PT" baseline="0"/>
              <a:t> 3 - Chaminé Principal</a:t>
            </a:r>
            <a:endParaRPr lang="pt-PT"/>
          </a:p>
        </c:rich>
      </c:tx>
      <c:overlay val="0"/>
    </c:title>
    <c:autoTitleDeleted val="0"/>
    <c:plotArea>
      <c:layout/>
      <c:lineChart>
        <c:grouping val="standard"/>
        <c:varyColors val="0"/>
        <c:ser>
          <c:idx val="0"/>
          <c:order val="0"/>
          <c:tx>
            <c:v>2010</c:v>
          </c:tx>
          <c:marker>
            <c:symbol val="none"/>
          </c:marker>
          <c:cat>
            <c:numRef>
              <c:f>'Inciner 3 - Total - Exponencial'!$AJ$6:$AJ$79</c:f>
              <c:numCache>
                <c:formatCode>General</c:formatCode>
                <c:ptCount val="74"/>
                <c:pt idx="0">
                  <c:v>1</c:v>
                </c:pt>
                <c:pt idx="1">
                  <c:v>6</c:v>
                </c:pt>
                <c:pt idx="2">
                  <c:v>11</c:v>
                </c:pt>
                <c:pt idx="3">
                  <c:v>16</c:v>
                </c:pt>
                <c:pt idx="4">
                  <c:v>21</c:v>
                </c:pt>
                <c:pt idx="5">
                  <c:v>26</c:v>
                </c:pt>
                <c:pt idx="6">
                  <c:v>31</c:v>
                </c:pt>
                <c:pt idx="7">
                  <c:v>36</c:v>
                </c:pt>
                <c:pt idx="8">
                  <c:v>41</c:v>
                </c:pt>
                <c:pt idx="9">
                  <c:v>46</c:v>
                </c:pt>
                <c:pt idx="10">
                  <c:v>51</c:v>
                </c:pt>
                <c:pt idx="11">
                  <c:v>56</c:v>
                </c:pt>
                <c:pt idx="12">
                  <c:v>61</c:v>
                </c:pt>
                <c:pt idx="13">
                  <c:v>66</c:v>
                </c:pt>
                <c:pt idx="14">
                  <c:v>71</c:v>
                </c:pt>
                <c:pt idx="15">
                  <c:v>76</c:v>
                </c:pt>
                <c:pt idx="16">
                  <c:v>81</c:v>
                </c:pt>
                <c:pt idx="17">
                  <c:v>86</c:v>
                </c:pt>
                <c:pt idx="18">
                  <c:v>91</c:v>
                </c:pt>
                <c:pt idx="19">
                  <c:v>96</c:v>
                </c:pt>
                <c:pt idx="20">
                  <c:v>101</c:v>
                </c:pt>
                <c:pt idx="21">
                  <c:v>106</c:v>
                </c:pt>
                <c:pt idx="22">
                  <c:v>111</c:v>
                </c:pt>
                <c:pt idx="23">
                  <c:v>116</c:v>
                </c:pt>
                <c:pt idx="24">
                  <c:v>121</c:v>
                </c:pt>
                <c:pt idx="25">
                  <c:v>126</c:v>
                </c:pt>
                <c:pt idx="26">
                  <c:v>131</c:v>
                </c:pt>
                <c:pt idx="27">
                  <c:v>136</c:v>
                </c:pt>
                <c:pt idx="28">
                  <c:v>141</c:v>
                </c:pt>
                <c:pt idx="29">
                  <c:v>146</c:v>
                </c:pt>
                <c:pt idx="30">
                  <c:v>151</c:v>
                </c:pt>
                <c:pt idx="31">
                  <c:v>156</c:v>
                </c:pt>
                <c:pt idx="32">
                  <c:v>161</c:v>
                </c:pt>
                <c:pt idx="33">
                  <c:v>166</c:v>
                </c:pt>
                <c:pt idx="34">
                  <c:v>171</c:v>
                </c:pt>
                <c:pt idx="35">
                  <c:v>176</c:v>
                </c:pt>
                <c:pt idx="36">
                  <c:v>181</c:v>
                </c:pt>
                <c:pt idx="37">
                  <c:v>186</c:v>
                </c:pt>
                <c:pt idx="38">
                  <c:v>191</c:v>
                </c:pt>
                <c:pt idx="39">
                  <c:v>196</c:v>
                </c:pt>
                <c:pt idx="40">
                  <c:v>201</c:v>
                </c:pt>
                <c:pt idx="41">
                  <c:v>206</c:v>
                </c:pt>
                <c:pt idx="42">
                  <c:v>211</c:v>
                </c:pt>
                <c:pt idx="43">
                  <c:v>216</c:v>
                </c:pt>
                <c:pt idx="44">
                  <c:v>221</c:v>
                </c:pt>
                <c:pt idx="45">
                  <c:v>226</c:v>
                </c:pt>
                <c:pt idx="46">
                  <c:v>231</c:v>
                </c:pt>
                <c:pt idx="47">
                  <c:v>236</c:v>
                </c:pt>
                <c:pt idx="48">
                  <c:v>241</c:v>
                </c:pt>
                <c:pt idx="49">
                  <c:v>246</c:v>
                </c:pt>
                <c:pt idx="50">
                  <c:v>251</c:v>
                </c:pt>
                <c:pt idx="51">
                  <c:v>256</c:v>
                </c:pt>
                <c:pt idx="52">
                  <c:v>261</c:v>
                </c:pt>
                <c:pt idx="53">
                  <c:v>266</c:v>
                </c:pt>
                <c:pt idx="54">
                  <c:v>271</c:v>
                </c:pt>
                <c:pt idx="55">
                  <c:v>276</c:v>
                </c:pt>
                <c:pt idx="56">
                  <c:v>281</c:v>
                </c:pt>
                <c:pt idx="57">
                  <c:v>286</c:v>
                </c:pt>
                <c:pt idx="58">
                  <c:v>291</c:v>
                </c:pt>
                <c:pt idx="59">
                  <c:v>296</c:v>
                </c:pt>
                <c:pt idx="60">
                  <c:v>301</c:v>
                </c:pt>
                <c:pt idx="61">
                  <c:v>306</c:v>
                </c:pt>
                <c:pt idx="62">
                  <c:v>311</c:v>
                </c:pt>
                <c:pt idx="63">
                  <c:v>316</c:v>
                </c:pt>
                <c:pt idx="64">
                  <c:v>321</c:v>
                </c:pt>
                <c:pt idx="65">
                  <c:v>326</c:v>
                </c:pt>
                <c:pt idx="66">
                  <c:v>331</c:v>
                </c:pt>
                <c:pt idx="67">
                  <c:v>336</c:v>
                </c:pt>
                <c:pt idx="68">
                  <c:v>341</c:v>
                </c:pt>
                <c:pt idx="69">
                  <c:v>346</c:v>
                </c:pt>
                <c:pt idx="70">
                  <c:v>351</c:v>
                </c:pt>
                <c:pt idx="71">
                  <c:v>356</c:v>
                </c:pt>
                <c:pt idx="72">
                  <c:v>361</c:v>
                </c:pt>
                <c:pt idx="73">
                  <c:v>366</c:v>
                </c:pt>
              </c:numCache>
            </c:numRef>
          </c:cat>
          <c:val>
            <c:numRef>
              <c:f>'Inciner 3 - Total - Exponencial'!$AS$6:$AS$79</c:f>
              <c:numCache>
                <c:formatCode>General</c:formatCode>
                <c:ptCount val="74"/>
                <c:pt idx="0">
                  <c:v>0.99163184820119987</c:v>
                </c:pt>
                <c:pt idx="1">
                  <c:v>0.95082983222576778</c:v>
                </c:pt>
                <c:pt idx="2">
                  <c:v>0.91170666965815983</c:v>
                </c:pt>
                <c:pt idx="3">
                  <c:v>0.87419328183406031</c:v>
                </c:pt>
                <c:pt idx="4">
                  <c:v>0.8382234324229999</c:v>
                </c:pt>
                <c:pt idx="5">
                  <c:v>0.80373361047673531</c:v>
                </c:pt>
                <c:pt idx="6">
                  <c:v>0.77066291828975986</c:v>
                </c:pt>
                <c:pt idx="7">
                  <c:v>0.73895296387394338</c:v>
                </c:pt>
                <c:pt idx="8">
                  <c:v>0.70854775785744606</c:v>
                </c:pt>
                <c:pt idx="9">
                  <c:v>0.67939361462586423</c:v>
                </c:pt>
                <c:pt idx="10">
                  <c:v>0.65143905753105558</c:v>
                </c:pt>
                <c:pt idx="11">
                  <c:v>0.62463472800027442</c:v>
                </c:pt>
                <c:pt idx="12">
                  <c:v>0.59893329838513198</c:v>
                </c:pt>
                <c:pt idx="13">
                  <c:v>0.57428938839650279</c:v>
                </c:pt>
                <c:pt idx="14">
                  <c:v>0.55065948497782913</c:v>
                </c:pt>
                <c:pt idx="15">
                  <c:v>0.52800186547534433</c:v>
                </c:pt>
                <c:pt idx="16">
                  <c:v>0.50627652396956024</c:v>
                </c:pt>
                <c:pt idx="17">
                  <c:v>0.48544510063794399</c:v>
                </c:pt>
                <c:pt idx="18">
                  <c:v>0.46547081402406171</c:v>
                </c:pt>
                <c:pt idx="19">
                  <c:v>0.44631839609359841</c:v>
                </c:pt>
                <c:pt idx="20">
                  <c:v>0.42795402996258514</c:v>
                </c:pt>
                <c:pt idx="21">
                  <c:v>0.41034529018788096</c:v>
                </c:pt>
                <c:pt idx="22">
                  <c:v>0.39346108551448272</c:v>
                </c:pt>
                <c:pt idx="23">
                  <c:v>0.37727160397857362</c:v>
                </c:pt>
                <c:pt idx="24">
                  <c:v>0.36174826026937951</c:v>
                </c:pt>
                <c:pt idx="25">
                  <c:v>0.34686364525689234</c:v>
                </c:pt>
                <c:pt idx="26">
                  <c:v>0.33259147759634267</c:v>
                </c:pt>
                <c:pt idx="27">
                  <c:v>0.31890655732397044</c:v>
                </c:pt>
                <c:pt idx="28">
                  <c:v>0.30578472136216034</c:v>
                </c:pt>
                <c:pt idx="29">
                  <c:v>0.29320280085537731</c:v>
                </c:pt>
                <c:pt idx="30">
                  <c:v>0.28113858026157157</c:v>
                </c:pt>
                <c:pt idx="31">
                  <c:v>0.26957075812682357</c:v>
                </c:pt>
                <c:pt idx="32">
                  <c:v>0.25847890947396718</c:v>
                </c:pt>
                <c:pt idx="33">
                  <c:v>0.24784344973878408</c:v>
                </c:pt>
                <c:pt idx="34">
                  <c:v>0.23764560019009123</c:v>
                </c:pt>
                <c:pt idx="35">
                  <c:v>0.22786735477266509</c:v>
                </c:pt>
                <c:pt idx="36">
                  <c:v>0.21849144831445771</c:v>
                </c:pt>
                <c:pt idx="37">
                  <c:v>0.20950132604196997</c:v>
                </c:pt>
                <c:pt idx="38">
                  <c:v>0.20088111434995476</c:v>
                </c:pt>
                <c:pt idx="39">
                  <c:v>0.19261559277384013</c:v>
                </c:pt>
                <c:pt idx="40">
                  <c:v>0.18469016711538452</c:v>
                </c:pt>
                <c:pt idx="41">
                  <c:v>0.17709084367411268</c:v>
                </c:pt>
                <c:pt idx="42">
                  <c:v>0.16980420453903336</c:v>
                </c:pt>
                <c:pt idx="43">
                  <c:v>0.16281738389701275</c:v>
                </c:pt>
                <c:pt idx="44">
                  <c:v>0.15611804531597109</c:v>
                </c:pt>
                <c:pt idx="45">
                  <c:v>0.14969435996279248</c:v>
                </c:pt>
                <c:pt idx="46">
                  <c:v>0.14353498571748824</c:v>
                </c:pt>
                <c:pt idx="47">
                  <c:v>0.13762904714673543</c:v>
                </c:pt>
                <c:pt idx="48">
                  <c:v>0.13196611630143124</c:v>
                </c:pt>
                <c:pt idx="49">
                  <c:v>0.12653619430435736</c:v>
                </c:pt>
                <c:pt idx="50">
                  <c:v>0.12132969369544465</c:v>
                </c:pt>
                <c:pt idx="51">
                  <c:v>0.11633742150346545</c:v>
                </c:pt>
                <c:pt idx="52">
                  <c:v>0.11155056301426348</c:v>
                </c:pt>
                <c:pt idx="53">
                  <c:v>0.10696066620686187</c:v>
                </c:pt>
                <c:pt idx="54">
                  <c:v>0.10255962682996832</c:v>
                </c:pt>
                <c:pt idx="55">
                  <c:v>9.8339674092526932E-2</c:v>
                </c:pt>
                <c:pt idx="56">
                  <c:v>9.4293356943051951E-2</c:v>
                </c:pt>
                <c:pt idx="57">
                  <c:v>9.0413530913516352E-2</c:v>
                </c:pt>
                <c:pt idx="58">
                  <c:v>8.6693345504566074E-2</c:v>
                </c:pt>
                <c:pt idx="59">
                  <c:v>8.3126232089786686E-2</c:v>
                </c:pt>
                <c:pt idx="60">
                  <c:v>7.9705892317665172E-2</c:v>
                </c:pt>
                <c:pt idx="61">
                  <c:v>7.6426286990768116E-2</c:v>
                </c:pt>
                <c:pt idx="62">
                  <c:v>7.3281625402501355E-2</c:v>
                </c:pt>
                <c:pt idx="63">
                  <c:v>7.0266355112622761E-2</c:v>
                </c:pt>
                <c:pt idx="64">
                  <c:v>6.7375152143455019E-2</c:v>
                </c:pt>
                <c:pt idx="65">
                  <c:v>6.4602911579488526E-2</c:v>
                </c:pt>
                <c:pt idx="66">
                  <c:v>6.1944738553776177E-2</c:v>
                </c:pt>
                <c:pt idx="67">
                  <c:v>5.9395939605204784E-2</c:v>
                </c:pt>
                <c:pt idx="68">
                  <c:v>5.6952014391383234E-2</c:v>
                </c:pt>
                <c:pt idx="69">
                  <c:v>5.4608647742515011E-2</c:v>
                </c:pt>
                <c:pt idx="70">
                  <c:v>5.2361702042224491E-2</c:v>
                </c:pt>
                <c:pt idx="71">
                  <c:v>5.0207209921884495E-2</c:v>
                </c:pt>
                <c:pt idx="72">
                  <c:v>4.814136725554554E-2</c:v>
                </c:pt>
                <c:pt idx="73">
                  <c:v>4.6160526443097816E-2</c:v>
                </c:pt>
              </c:numCache>
            </c:numRef>
          </c:val>
          <c:smooth val="0"/>
        </c:ser>
        <c:ser>
          <c:idx val="1"/>
          <c:order val="1"/>
          <c:tx>
            <c:v>2011</c:v>
          </c:tx>
          <c:marker>
            <c:symbol val="none"/>
          </c:marker>
          <c:val>
            <c:numRef>
              <c:f>'Inciner 3 - Total - Exponencial'!$AT$6:$AT$79</c:f>
              <c:numCache>
                <c:formatCode>General</c:formatCode>
                <c:ptCount val="74"/>
                <c:pt idx="0">
                  <c:v>0.98601421559700198</c:v>
                </c:pt>
                <c:pt idx="1">
                  <c:v>0.91896518376824321</c:v>
                </c:pt>
                <c:pt idx="2">
                  <c:v>0.85647549053527938</c:v>
                </c:pt>
                <c:pt idx="3">
                  <c:v>0.79823510057225833</c:v>
                </c:pt>
                <c:pt idx="4">
                  <c:v>0.74395506097597675</c:v>
                </c:pt>
                <c:pt idx="5">
                  <c:v>0.69336606765974684</c:v>
                </c:pt>
                <c:pt idx="6">
                  <c:v>0.64621712923257457</c:v>
                </c:pt>
                <c:pt idx="7">
                  <c:v>0.60227432173464202</c:v>
                </c:pt>
                <c:pt idx="8">
                  <c:v>0.56131962805085978</c:v>
                </c:pt>
                <c:pt idx="9">
                  <c:v>0.52314985624437349</c:v>
                </c:pt>
                <c:pt idx="10">
                  <c:v>0.48757563144346461</c:v>
                </c:pt>
                <c:pt idx="11">
                  <c:v>0.45442045628020766</c:v>
                </c:pt>
                <c:pt idx="12">
                  <c:v>0.42351983521936126</c:v>
                </c:pt>
                <c:pt idx="13">
                  <c:v>0.39472045843295223</c:v>
                </c:pt>
                <c:pt idx="14">
                  <c:v>0.36787944117144233</c:v>
                </c:pt>
                <c:pt idx="15">
                  <c:v>0.3428636148577055</c:v>
                </c:pt>
                <c:pt idx="16">
                  <c:v>0.3195488663866618</c:v>
                </c:pt>
                <c:pt idx="17">
                  <c:v>0.29781952235257952</c:v>
                </c:pt>
                <c:pt idx="18">
                  <c:v>0.27756777514896186</c:v>
                </c:pt>
                <c:pt idx="19">
                  <c:v>0.25869314809367921</c:v>
                </c:pt>
                <c:pt idx="20">
                  <c:v>0.24110199692562737</c:v>
                </c:pt>
                <c:pt idx="21">
                  <c:v>0.22470704519964657</c:v>
                </c:pt>
                <c:pt idx="22">
                  <c:v>0.20942695127461608</c:v>
                </c:pt>
                <c:pt idx="23">
                  <c:v>0.19518590474638758</c:v>
                </c:pt>
                <c:pt idx="24">
                  <c:v>0.18191325032330527</c:v>
                </c:pt>
                <c:pt idx="25">
                  <c:v>0.16954313727821566</c:v>
                </c:pt>
                <c:pt idx="26">
                  <c:v>0.1580141927377641</c:v>
                </c:pt>
                <c:pt idx="27">
                  <c:v>0.1472692171880402</c:v>
                </c:pt>
                <c:pt idx="28">
                  <c:v>0.13725490068586005</c:v>
                </c:pt>
                <c:pt idx="29">
                  <c:v>0.12792155836769953</c:v>
                </c:pt>
                <c:pt idx="30">
                  <c:v>0.11922288394403803</c:v>
                </c:pt>
                <c:pt idx="31">
                  <c:v>0.11111571995610277</c:v>
                </c:pt>
                <c:pt idx="32">
                  <c:v>0.10355984365517003</c:v>
                </c:pt>
                <c:pt idx="33">
                  <c:v>9.6517767442087621E-2</c:v>
                </c:pt>
                <c:pt idx="34">
                  <c:v>8.995455287692336E-2</c:v>
                </c:pt>
                <c:pt idx="35">
                  <c:v>8.3837637335969606E-2</c:v>
                </c:pt>
                <c:pt idx="36">
                  <c:v>7.8136672456083092E-2</c:v>
                </c:pt>
                <c:pt idx="37">
                  <c:v>7.2823373564819993E-2</c:v>
                </c:pt>
                <c:pt idx="38">
                  <c:v>6.78713793493321E-2</c:v>
                </c:pt>
                <c:pt idx="39">
                  <c:v>6.3256121067787136E-2</c:v>
                </c:pt>
                <c:pt idx="40">
                  <c:v>5.8954700654421245E-2</c:v>
                </c:pt>
                <c:pt idx="41">
                  <c:v>5.4945777113455975E-2</c:v>
                </c:pt>
                <c:pt idx="42">
                  <c:v>5.1209460638236191E-2</c:v>
                </c:pt>
                <c:pt idx="43">
                  <c:v>4.7727213930273925E-2</c:v>
                </c:pt>
                <c:pt idx="44">
                  <c:v>4.4481760228603541E-2</c:v>
                </c:pt>
                <c:pt idx="45">
                  <c:v>4.145699759314693E-2</c:v>
                </c:pt>
                <c:pt idx="46">
                  <c:v>3.863791901681557E-2</c:v>
                </c:pt>
                <c:pt idx="47">
                  <c:v>3.6010537969994746E-2</c:v>
                </c:pt>
                <c:pt idx="48">
                  <c:v>3.3561819008007962E-2</c:v>
                </c:pt>
                <c:pt idx="49">
                  <c:v>3.1279613097278273E-2</c:v>
                </c:pt>
                <c:pt idx="50">
                  <c:v>2.9152597339314953E-2</c:v>
                </c:pt>
                <c:pt idx="51">
                  <c:v>2.7170218793472964E-2</c:v>
                </c:pt>
                <c:pt idx="52">
                  <c:v>2.5322642119768621E-2</c:v>
                </c:pt>
                <c:pt idx="53">
                  <c:v>2.3600700781987172E-2</c:v>
                </c:pt>
                <c:pt idx="54">
                  <c:v>2.1995851568982285E-2</c:v>
                </c:pt>
                <c:pt idx="55">
                  <c:v>2.050013220853027E-2</c:v>
                </c:pt>
                <c:pt idx="56">
                  <c:v>1.9106121863444851E-2</c:v>
                </c:pt>
                <c:pt idx="57">
                  <c:v>1.7806904313958892E-2</c:v>
                </c:pt>
                <c:pt idx="58">
                  <c:v>1.6596033643706532E-2</c:v>
                </c:pt>
                <c:pt idx="59">
                  <c:v>1.546750225906084E-2</c:v>
                </c:pt>
                <c:pt idx="60">
                  <c:v>1.4415711083158521E-2</c:v>
                </c:pt>
                <c:pt idx="61">
                  <c:v>1.3435441776733089E-2</c:v>
                </c:pt>
                <c:pt idx="62">
                  <c:v>1.2521830847933063E-2</c:v>
                </c:pt>
                <c:pt idx="63">
                  <c:v>1.1670345522674276E-2</c:v>
                </c:pt>
                <c:pt idx="64">
                  <c:v>1.0876761255809907E-2</c:v>
                </c:pt>
                <c:pt idx="65">
                  <c:v>1.0137140771542286E-2</c:v>
                </c:pt>
                <c:pt idx="66">
                  <c:v>9.447814529088246E-3</c:v>
                </c:pt>
                <c:pt idx="67">
                  <c:v>8.8053625166803953E-3</c:v>
                </c:pt>
                <c:pt idx="68">
                  <c:v>8.2065972835775412E-3</c:v>
                </c:pt>
                <c:pt idx="69">
                  <c:v>7.6485481258995918E-3</c:v>
                </c:pt>
                <c:pt idx="70">
                  <c:v>7.1284463478266096E-3</c:v>
                </c:pt>
                <c:pt idx="71">
                  <c:v>6.6437115250374268E-3</c:v>
                </c:pt>
                <c:pt idx="72">
                  <c:v>6.1919387022352597E-3</c:v>
                </c:pt>
                <c:pt idx="73">
                  <c:v>5.7708864612424377E-3</c:v>
                </c:pt>
              </c:numCache>
            </c:numRef>
          </c:val>
          <c:smooth val="0"/>
        </c:ser>
        <c:ser>
          <c:idx val="2"/>
          <c:order val="2"/>
          <c:tx>
            <c:v>2012</c:v>
          </c:tx>
          <c:marker>
            <c:symbol val="none"/>
          </c:marker>
          <c:val>
            <c:numRef>
              <c:f>'Inciner 3 - Total - Exponencial'!$AU$6:$AU$79</c:f>
              <c:numCache>
                <c:formatCode>General</c:formatCode>
                <c:ptCount val="74"/>
                <c:pt idx="0">
                  <c:v>0.9888269325324206</c:v>
                </c:pt>
                <c:pt idx="1">
                  <c:v>0.93480649312498687</c:v>
                </c:pt>
                <c:pt idx="2">
                  <c:v>0.88373723534273252</c:v>
                </c:pt>
                <c:pt idx="3">
                  <c:v>0.83545793367397481</c:v>
                </c:pt>
                <c:pt idx="4">
                  <c:v>0.78981617049109842</c:v>
                </c:pt>
                <c:pt idx="5">
                  <c:v>0.74666785486850906</c:v>
                </c:pt>
                <c:pt idx="6">
                  <c:v>0.70587676768796215</c:v>
                </c:pt>
                <c:pt idx="7">
                  <c:v>0.66731413159516684</c:v>
                </c:pt>
                <c:pt idx="8">
                  <c:v>0.63085820445001994</c:v>
                </c:pt>
                <c:pt idx="9">
                  <c:v>0.59639389498699125</c:v>
                </c:pt>
                <c:pt idx="10">
                  <c:v>0.56381239947230277</c:v>
                </c:pt>
                <c:pt idx="11">
                  <c:v>0.53301085821082961</c:v>
                </c:pt>
                <c:pt idx="12">
                  <c:v>0.5038920308183138</c:v>
                </c:pt>
                <c:pt idx="13">
                  <c:v>0.47636398923372941</c:v>
                </c:pt>
                <c:pt idx="14">
                  <c:v>0.45033982750263662</c:v>
                </c:pt>
                <c:pt idx="15">
                  <c:v>0.42573738741531353</c:v>
                </c:pt>
                <c:pt idx="16">
                  <c:v>0.4024789991335056</c:v>
                </c:pt>
                <c:pt idx="17">
                  <c:v>0.38049123598695195</c:v>
                </c:pt>
                <c:pt idx="18">
                  <c:v>0.35970468266558103</c:v>
                </c:pt>
                <c:pt idx="19">
                  <c:v>0.34005371607556145</c:v>
                </c:pt>
                <c:pt idx="20">
                  <c:v>0.32147629816736722</c:v>
                </c:pt>
                <c:pt idx="21">
                  <c:v>0.30391378008182041</c:v>
                </c:pt>
                <c:pt idx="22">
                  <c:v>0.28731071699579769</c:v>
                </c:pt>
                <c:pt idx="23">
                  <c:v>0.27161469308307018</c:v>
                </c:pt>
                <c:pt idx="24">
                  <c:v>0.25677615603767917</c:v>
                </c:pt>
                <c:pt idx="25">
                  <c:v>0.24274826063743693</c:v>
                </c:pt>
                <c:pt idx="26">
                  <c:v>0.22948672085368443</c:v>
                </c:pt>
                <c:pt idx="27">
                  <c:v>0.21694967004041621</c:v>
                </c:pt>
                <c:pt idx="28">
                  <c:v>0.20509752876138934</c:v>
                </c:pt>
                <c:pt idx="29">
                  <c:v>0.19389287983794812</c:v>
                </c:pt>
                <c:pt idx="30">
                  <c:v>0.1833003502230903</c:v>
                </c:pt>
                <c:pt idx="31">
                  <c:v>0.17328649932885085</c:v>
                </c:pt>
                <c:pt idx="32">
                  <c:v>0.16381971345445456</c:v>
                </c:pt>
                <c:pt idx="33">
                  <c:v>0.15487010598194637</c:v>
                </c:pt>
                <c:pt idx="34">
                  <c:v>0.14640942302421725</c:v>
                </c:pt>
                <c:pt idx="35">
                  <c:v>0.13841095422755781</c:v>
                </c:pt>
                <c:pt idx="36">
                  <c:v>0.13084944844714186</c:v>
                </c:pt>
                <c:pt idx="37">
                  <c:v>0.12370103402922936</c:v>
                </c:pt>
                <c:pt idx="38">
                  <c:v>0.11694314344841851</c:v>
                </c:pt>
                <c:pt idx="39">
                  <c:v>0.11055444206202804</c:v>
                </c:pt>
                <c:pt idx="40">
                  <c:v>0.10451476075668635</c:v>
                </c:pt>
                <c:pt idx="41">
                  <c:v>9.8805032274494262E-2</c:v>
                </c:pt>
                <c:pt idx="42">
                  <c:v>9.3407231017742134E-2</c:v>
                </c:pt>
                <c:pt idx="43">
                  <c:v>8.8304316142145678E-2</c:v>
                </c:pt>
                <c:pt idx="44">
                  <c:v>8.3480177758945562E-2</c:v>
                </c:pt>
                <c:pt idx="45">
                  <c:v>7.8919586076031376E-2</c:v>
                </c:pt>
                <c:pt idx="46">
                  <c:v>7.4608143317528006E-2</c:v>
                </c:pt>
                <c:pt idx="47">
                  <c:v>7.0532238270055503E-2</c:v>
                </c:pt>
                <c:pt idx="48">
                  <c:v>6.6679003312164337E-2</c:v>
                </c:pt>
                <c:pt idx="49">
                  <c:v>6.303627379128858E-2</c:v>
                </c:pt>
                <c:pt idx="50">
                  <c:v>5.9592549619969994E-2</c:v>
                </c:pt>
                <c:pt idx="51">
                  <c:v>5.633695897011224E-2</c:v>
                </c:pt>
                <c:pt idx="52">
                  <c:v>5.3259223950648416E-2</c:v>
                </c:pt>
                <c:pt idx="53">
                  <c:v>5.0349628160266141E-2</c:v>
                </c:pt>
                <c:pt idx="54">
                  <c:v>4.7598986012754328E-2</c:v>
                </c:pt>
                <c:pt idx="55">
                  <c:v>4.4998613738131875E-2</c:v>
                </c:pt>
                <c:pt idx="56">
                  <c:v>4.2540301968008676E-2</c:v>
                </c:pt>
                <c:pt idx="57">
                  <c:v>4.0216289818631464E-2</c:v>
                </c:pt>
                <c:pt idx="58">
                  <c:v>3.801924038979429E-2</c:v>
                </c:pt>
                <c:pt idx="59">
                  <c:v>3.5942217602263959E-2</c:v>
                </c:pt>
                <c:pt idx="60">
                  <c:v>3.3978664300596338E-2</c:v>
                </c:pt>
                <c:pt idx="61">
                  <c:v>3.2122381552213863E-2</c:v>
                </c:pt>
                <c:pt idx="62">
                  <c:v>3.0367509077391847E-2</c:v>
                </c:pt>
                <c:pt idx="63">
                  <c:v>2.8708506748370884E-2</c:v>
                </c:pt>
                <c:pt idx="64">
                  <c:v>2.7140137099188194E-2</c:v>
                </c:pt>
                <c:pt idx="65">
                  <c:v>2.5657448791011391E-2</c:v>
                </c:pt>
                <c:pt idx="66">
                  <c:v>2.4255760980774973E-2</c:v>
                </c:pt>
                <c:pt idx="67">
                  <c:v>2.293064854377105E-2</c:v>
                </c:pt>
                <c:pt idx="68">
                  <c:v>2.167792810354242E-2</c:v>
                </c:pt>
                <c:pt idx="69">
                  <c:v>2.0493644824974133E-2</c:v>
                </c:pt>
                <c:pt idx="70">
                  <c:v>1.9374059928889506E-2</c:v>
                </c:pt>
                <c:pt idx="71">
                  <c:v>1.8315638888734179E-2</c:v>
                </c:pt>
                <c:pt idx="72">
                  <c:v>1.7315040272085101E-2</c:v>
                </c:pt>
                <c:pt idx="73">
                  <c:v>1.6369105191757192E-2</c:v>
                </c:pt>
              </c:numCache>
            </c:numRef>
          </c:val>
          <c:smooth val="0"/>
        </c:ser>
        <c:ser>
          <c:idx val="3"/>
          <c:order val="3"/>
          <c:tx>
            <c:v>2013</c:v>
          </c:tx>
          <c:marker>
            <c:symbol val="none"/>
          </c:marker>
          <c:val>
            <c:numRef>
              <c:f>'Inciner 3 - Total - Exponencial'!$AV$6:$AV$79</c:f>
              <c:numCache>
                <c:formatCode>General</c:formatCode>
                <c:ptCount val="74"/>
                <c:pt idx="0">
                  <c:v>0.98058314032410865</c:v>
                </c:pt>
                <c:pt idx="1">
                  <c:v>0.88900976540277565</c:v>
                </c:pt>
                <c:pt idx="2">
                  <c:v>0.80598812123189312</c:v>
                </c:pt>
                <c:pt idx="3">
                  <c:v>0.73071959032148637</c:v>
                </c:pt>
                <c:pt idx="4">
                  <c:v>0.66248013539392625</c:v>
                </c:pt>
                <c:pt idx="5">
                  <c:v>0.60061333458771227</c:v>
                </c:pt>
                <c:pt idx="6">
                  <c:v>0.54452406708024359</c:v>
                </c:pt>
                <c:pt idx="7">
                  <c:v>0.49367278838913037</c:v>
                </c:pt>
                <c:pt idx="8">
                  <c:v>0.44757034028393899</c:v>
                </c:pt>
                <c:pt idx="9">
                  <c:v>0.40577324538289578</c:v>
                </c:pt>
                <c:pt idx="10">
                  <c:v>0.36787944117144233</c:v>
                </c:pt>
                <c:pt idx="11">
                  <c:v>0.33352441240650943</c:v>
                </c:pt>
                <c:pt idx="12">
                  <c:v>0.3023776847026009</c:v>
                </c:pt>
                <c:pt idx="13">
                  <c:v>0.27413964557012738</c:v>
                </c:pt>
                <c:pt idx="14">
                  <c:v>0.24853866232632299</c:v>
                </c:pt>
                <c:pt idx="15">
                  <c:v>0.22532846915480634</c:v>
                </c:pt>
                <c:pt idx="16">
                  <c:v>0.20428579817889811</c:v>
                </c:pt>
                <c:pt idx="17">
                  <c:v>0.18520823176106552</c:v>
                </c:pt>
                <c:pt idx="18">
                  <c:v>0.1679122553689287</c:v>
                </c:pt>
                <c:pt idx="19">
                  <c:v>0.1522314922775877</c:v>
                </c:pt>
                <c:pt idx="20">
                  <c:v>0.13801510312718693</c:v>
                </c:pt>
                <c:pt idx="21">
                  <c:v>0.12512633494043737</c:v>
                </c:pt>
                <c:pt idx="22">
                  <c:v>0.11344120564253239</c:v>
                </c:pt>
                <c:pt idx="23">
                  <c:v>0.10284731142934196</c:v>
                </c:pt>
                <c:pt idx="24">
                  <c:v>9.3242745511497083E-2</c:v>
                </c:pt>
                <c:pt idx="25">
                  <c:v>8.4535117833341666E-2</c:v>
                </c:pt>
                <c:pt idx="26">
                  <c:v>7.6640666337048372E-2</c:v>
                </c:pt>
                <c:pt idx="27">
                  <c:v>6.9483451222801543E-2</c:v>
                </c:pt>
                <c:pt idx="28">
                  <c:v>6.2994624454323064E-2</c:v>
                </c:pt>
                <c:pt idx="29">
                  <c:v>5.7111767482829937E-2</c:v>
                </c:pt>
                <c:pt idx="30">
                  <c:v>5.1778290818733343E-2</c:v>
                </c:pt>
                <c:pt idx="31">
                  <c:v>4.6942889675325485E-2</c:v>
                </c:pt>
                <c:pt idx="32">
                  <c:v>4.2559050448079012E-2</c:v>
                </c:pt>
                <c:pt idx="33">
                  <c:v>3.8584603282191869E-2</c:v>
                </c:pt>
                <c:pt idx="34">
                  <c:v>3.4981316424350116E-2</c:v>
                </c:pt>
                <c:pt idx="35">
                  <c:v>3.1714528456621031E-2</c:v>
                </c:pt>
                <c:pt idx="36">
                  <c:v>2.8752814874791019E-2</c:v>
                </c:pt>
                <c:pt idx="37">
                  <c:v>2.6067685803835703E-2</c:v>
                </c:pt>
                <c:pt idx="38">
                  <c:v>2.3633311942729791E-2</c:v>
                </c:pt>
                <c:pt idx="39">
                  <c:v>2.142627610235312E-2</c:v>
                </c:pt>
                <c:pt idx="40">
                  <c:v>1.9425347946439429E-2</c:v>
                </c:pt>
                <c:pt idx="41">
                  <c:v>1.7611279768713378E-2</c:v>
                </c:pt>
                <c:pt idx="42">
                  <c:v>1.5966621341716739E-2</c:v>
                </c:pt>
                <c:pt idx="43">
                  <c:v>1.4475552056282438E-2</c:v>
                </c:pt>
                <c:pt idx="44">
                  <c:v>1.3123728736940968E-2</c:v>
                </c:pt>
                <c:pt idx="45">
                  <c:v>1.1898147669336081E-2</c:v>
                </c:pt>
                <c:pt idx="46">
                  <c:v>1.0787019512438168E-2</c:v>
                </c:pt>
                <c:pt idx="47">
                  <c:v>9.7796558922868589E-3</c:v>
                </c:pt>
                <c:pt idx="48">
                  <c:v>8.8663665863642546E-3</c:v>
                </c:pt>
                <c:pt idx="49">
                  <c:v>8.0383663095751311E-3</c:v>
                </c:pt>
                <c:pt idx="50">
                  <c:v>7.2876902051721539E-3</c:v>
                </c:pt>
                <c:pt idx="51">
                  <c:v>6.6071172277006318E-3</c:v>
                </c:pt>
                <c:pt idx="52">
                  <c:v>5.9901006809533102E-3</c:v>
                </c:pt>
                <c:pt idx="53">
                  <c:v>5.4307052427529671E-3</c:v>
                </c:pt>
                <c:pt idx="54">
                  <c:v>4.9235498707796222E-3</c:v>
                </c:pt>
                <c:pt idx="55">
                  <c:v>4.4637560402312378E-3</c:v>
                </c:pt>
                <c:pt idx="56">
                  <c:v>4.0469008153959912E-3</c:v>
                </c:pt>
                <c:pt idx="57">
                  <c:v>3.6689743037131421E-3</c:v>
                </c:pt>
                <c:pt idx="58">
                  <c:v>3.3263410830566948E-3</c:v>
                </c:pt>
                <c:pt idx="59">
                  <c:v>3.015705231195829E-3</c:v>
                </c:pt>
                <c:pt idx="60">
                  <c:v>2.7340786210368526E-3</c:v>
                </c:pt>
                <c:pt idx="61">
                  <c:v>2.4787521766663585E-3</c:v>
                </c:pt>
                <c:pt idx="62">
                  <c:v>2.2472698136961847E-3</c:v>
                </c:pt>
                <c:pt idx="63">
                  <c:v>2.0374048132323005E-3</c:v>
                </c:pt>
                <c:pt idx="64">
                  <c:v>1.8471384021995938E-3</c:v>
                </c:pt>
                <c:pt idx="65">
                  <c:v>1.674640333978365E-3</c:v>
                </c:pt>
                <c:pt idx="66">
                  <c:v>1.5182512825501497E-3</c:v>
                </c:pt>
                <c:pt idx="67">
                  <c:v>1.3764668807952861E-3</c:v>
                </c:pt>
                <c:pt idx="68">
                  <c:v>1.2479232494003968E-3</c:v>
                </c:pt>
                <c:pt idx="69">
                  <c:v>1.1313838771727458E-3</c:v>
                </c:pt>
                <c:pt idx="70">
                  <c:v>1.0257277265580749E-3</c:v>
                </c:pt>
                <c:pt idx="71">
                  <c:v>9.2993844994430051E-4</c:v>
                </c:pt>
                <c:pt idx="72">
                  <c:v>8.4309461301848348E-4</c:v>
                </c:pt>
                <c:pt idx="73">
                  <c:v>7.6436083113173815E-4</c:v>
                </c:pt>
              </c:numCache>
            </c:numRef>
          </c:val>
          <c:smooth val="0"/>
        </c:ser>
        <c:ser>
          <c:idx val="4"/>
          <c:order val="4"/>
          <c:tx>
            <c:v>2014</c:v>
          </c:tx>
          <c:marker>
            <c:symbol val="none"/>
          </c:marker>
          <c:val>
            <c:numRef>
              <c:f>'Inciner 3 - Total - Exponencial'!$AW$6:$AW$79</c:f>
              <c:numCache>
                <c:formatCode>General</c:formatCode>
                <c:ptCount val="74"/>
                <c:pt idx="0">
                  <c:v>0.99721836062779279</c:v>
                </c:pt>
                <c:pt idx="1">
                  <c:v>0.98342579696807908</c:v>
                </c:pt>
                <c:pt idx="2">
                  <c:v>0.96982399876136749</c:v>
                </c:pt>
                <c:pt idx="3">
                  <c:v>0.95641032752369259</c:v>
                </c:pt>
                <c:pt idx="4">
                  <c:v>0.94318218126405728</c:v>
                </c:pt>
                <c:pt idx="5">
                  <c:v>0.93013699397969707</c:v>
                </c:pt>
                <c:pt idx="6">
                  <c:v>0.9172722351583259</c:v>
                </c:pt>
                <c:pt idx="7">
                  <c:v>0.9045854092872655</c:v>
                </c:pt>
                <c:pt idx="8">
                  <c:v>0.89207405536936502</c:v>
                </c:pt>
                <c:pt idx="9">
                  <c:v>0.87973574644561525</c:v>
                </c:pt>
                <c:pt idx="10">
                  <c:v>0.867568089124366</c:v>
                </c:pt>
                <c:pt idx="11">
                  <c:v>0.85556872311705456</c:v>
                </c:pt>
                <c:pt idx="12">
                  <c:v>0.84373532078035562</c:v>
                </c:pt>
                <c:pt idx="13">
                  <c:v>0.83206558666466413</c:v>
                </c:pt>
                <c:pt idx="14">
                  <c:v>0.82055725706882254</c:v>
                </c:pt>
                <c:pt idx="15">
                  <c:v>0.80920809960100692</c:v>
                </c:pt>
                <c:pt idx="16">
                  <c:v>0.79801591274568617</c:v>
                </c:pt>
                <c:pt idx="17">
                  <c:v>0.78697852543657143</c:v>
                </c:pt>
                <c:pt idx="18">
                  <c:v>0.77609379663547085</c:v>
                </c:pt>
                <c:pt idx="19">
                  <c:v>0.76535961491697058</c:v>
                </c:pt>
                <c:pt idx="20">
                  <c:v>0.75477389805885875</c:v>
                </c:pt>
                <c:pt idx="21">
                  <c:v>0.74433459263821511</c:v>
                </c:pt>
                <c:pt idx="22">
                  <c:v>0.73403967363308709</c:v>
                </c:pt>
                <c:pt idx="23">
                  <c:v>0.7238871440296748</c:v>
                </c:pt>
                <c:pt idx="24">
                  <c:v>0.7138750344349496</c:v>
                </c:pt>
                <c:pt idx="25">
                  <c:v>0.70400140269462974</c:v>
                </c:pt>
                <c:pt idx="26">
                  <c:v>0.69426433351644024</c:v>
                </c:pt>
                <c:pt idx="27">
                  <c:v>0.68466193809858422</c:v>
                </c:pt>
                <c:pt idx="28">
                  <c:v>0.67519235376335118</c:v>
                </c:pt>
                <c:pt idx="29">
                  <c:v>0.66585374359579441</c:v>
                </c:pt>
                <c:pt idx="30">
                  <c:v>0.65664429608740515</c:v>
                </c:pt>
                <c:pt idx="31">
                  <c:v>0.64756222478471492</c:v>
                </c:pt>
                <c:pt idx="32">
                  <c:v>0.63860576794275881</c:v>
                </c:pt>
                <c:pt idx="33">
                  <c:v>0.62977318818333095</c:v>
                </c:pt>
                <c:pt idx="34">
                  <c:v>0.62106277215796701</c:v>
                </c:pt>
                <c:pt idx="35">
                  <c:v>0.61247283021558807</c:v>
                </c:pt>
                <c:pt idx="36">
                  <c:v>0.60400169607474108</c:v>
                </c:pt>
                <c:pt idx="37">
                  <c:v>0.5956477265003729</c:v>
                </c:pt>
                <c:pt idx="38">
                  <c:v>0.58740930098507438</c:v>
                </c:pt>
                <c:pt idx="39">
                  <c:v>0.57928482143473381</c:v>
                </c:pt>
                <c:pt idx="40">
                  <c:v>0.57127271185853779</c:v>
                </c:pt>
                <c:pt idx="41">
                  <c:v>0.56337141806325919</c:v>
                </c:pt>
                <c:pt idx="42">
                  <c:v>0.5555794073517748</c:v>
                </c:pt>
                <c:pt idx="43">
                  <c:v>0.54789516822575102</c:v>
                </c:pt>
                <c:pt idx="44">
                  <c:v>0.54031721009244316</c:v>
                </c:pt>
                <c:pt idx="45">
                  <c:v>0.53284406297554965</c:v>
                </c:pt>
                <c:pt idx="46">
                  <c:v>0.52547427723006446</c:v>
                </c:pt>
                <c:pt idx="47">
                  <c:v>0.51820642326107513</c:v>
                </c:pt>
                <c:pt idx="48">
                  <c:v>0.51103909124644864</c:v>
                </c:pt>
                <c:pt idx="49">
                  <c:v>0.50397089086335345</c:v>
                </c:pt>
                <c:pt idx="50">
                  <c:v>0.4970004510185641</c:v>
                </c:pt>
                <c:pt idx="51">
                  <c:v>0.49012641958249575</c:v>
                </c:pt>
                <c:pt idx="52">
                  <c:v>0.48334746312691729</c:v>
                </c:pt>
                <c:pt idx="53">
                  <c:v>0.47666226666629236</c:v>
                </c:pt>
                <c:pt idx="54">
                  <c:v>0.47006953340269758</c:v>
                </c:pt>
                <c:pt idx="55">
                  <c:v>0.46356798447426928</c:v>
                </c:pt>
                <c:pt idx="56">
                  <c:v>0.45715635870712901</c:v>
                </c:pt>
                <c:pt idx="57">
                  <c:v>0.45083341237074037</c:v>
                </c:pt>
                <c:pt idx="58">
                  <c:v>0.44459791893664952</c:v>
                </c:pt>
                <c:pt idx="59">
                  <c:v>0.43844866884056272</c:v>
                </c:pt>
                <c:pt idx="60">
                  <c:v>0.43238446924771412</c:v>
                </c:pt>
                <c:pt idx="61">
                  <c:v>0.42640414382147923</c:v>
                </c:pt>
                <c:pt idx="62">
                  <c:v>0.42050653249518855</c:v>
                </c:pt>
                <c:pt idx="63">
                  <c:v>0.41469049124709711</c:v>
                </c:pt>
                <c:pt idx="64">
                  <c:v>0.40895489187846656</c:v>
                </c:pt>
                <c:pt idx="65">
                  <c:v>0.40329862179471665</c:v>
                </c:pt>
                <c:pt idx="66">
                  <c:v>0.39772058378960357</c:v>
                </c:pt>
                <c:pt idx="67">
                  <c:v>0.39221969583238303</c:v>
                </c:pt>
                <c:pt idx="68">
                  <c:v>0.38679489085791779</c:v>
                </c:pt>
                <c:pt idx="69">
                  <c:v>0.38144511655968755</c:v>
                </c:pt>
                <c:pt idx="70">
                  <c:v>0.37616933518566198</c:v>
                </c:pt>
                <c:pt idx="71">
                  <c:v>0.37096652333699709</c:v>
                </c:pt>
                <c:pt idx="72">
                  <c:v>0.36583567176951587</c:v>
                </c:pt>
                <c:pt idx="73">
                  <c:v>0.36077578519793424</c:v>
                </c:pt>
              </c:numCache>
            </c:numRef>
          </c:val>
          <c:smooth val="0"/>
        </c:ser>
        <c:ser>
          <c:idx val="5"/>
          <c:order val="5"/>
          <c:tx>
            <c:v>2015</c:v>
          </c:tx>
          <c:marker>
            <c:symbol val="none"/>
          </c:marker>
          <c:val>
            <c:numRef>
              <c:f>'Inciner 3 - Total - Exponencial'!$AX$6:$AX$79</c:f>
              <c:numCache>
                <c:formatCode>General</c:formatCode>
                <c:ptCount val="74"/>
                <c:pt idx="0">
                  <c:v>0.9888269325324206</c:v>
                </c:pt>
                <c:pt idx="1">
                  <c:v>0.93480649312498687</c:v>
                </c:pt>
                <c:pt idx="2">
                  <c:v>0.88373723534273252</c:v>
                </c:pt>
                <c:pt idx="3">
                  <c:v>0.83545793367397481</c:v>
                </c:pt>
                <c:pt idx="4">
                  <c:v>0.78981617049109842</c:v>
                </c:pt>
                <c:pt idx="5">
                  <c:v>0.74666785486850906</c:v>
                </c:pt>
                <c:pt idx="6">
                  <c:v>0.70587676768796215</c:v>
                </c:pt>
                <c:pt idx="7">
                  <c:v>0.66731413159516684</c:v>
                </c:pt>
                <c:pt idx="8">
                  <c:v>0.63085820445001994</c:v>
                </c:pt>
                <c:pt idx="9">
                  <c:v>0.59639389498699125</c:v>
                </c:pt>
                <c:pt idx="10">
                  <c:v>0.56381239947230277</c:v>
                </c:pt>
                <c:pt idx="11">
                  <c:v>0.53301085821082961</c:v>
                </c:pt>
                <c:pt idx="12">
                  <c:v>0.5038920308183138</c:v>
                </c:pt>
                <c:pt idx="13">
                  <c:v>0.47636398923372941</c:v>
                </c:pt>
                <c:pt idx="14">
                  <c:v>0.45033982750263662</c:v>
                </c:pt>
                <c:pt idx="15">
                  <c:v>0.42573738741531353</c:v>
                </c:pt>
                <c:pt idx="16">
                  <c:v>0.4024789991335056</c:v>
                </c:pt>
                <c:pt idx="17">
                  <c:v>0.38049123598695195</c:v>
                </c:pt>
                <c:pt idx="18">
                  <c:v>0.35970468266558103</c:v>
                </c:pt>
                <c:pt idx="19">
                  <c:v>0.34005371607556145</c:v>
                </c:pt>
                <c:pt idx="20">
                  <c:v>0.32147629816736722</c:v>
                </c:pt>
                <c:pt idx="21">
                  <c:v>0.30391378008182041</c:v>
                </c:pt>
                <c:pt idx="22">
                  <c:v>0.28731071699579769</c:v>
                </c:pt>
                <c:pt idx="23">
                  <c:v>0.27161469308307018</c:v>
                </c:pt>
                <c:pt idx="24">
                  <c:v>0.25677615603767917</c:v>
                </c:pt>
                <c:pt idx="25">
                  <c:v>0.24274826063743693</c:v>
                </c:pt>
                <c:pt idx="26">
                  <c:v>0.22948672085368443</c:v>
                </c:pt>
                <c:pt idx="27">
                  <c:v>0.21694967004041621</c:v>
                </c:pt>
                <c:pt idx="28">
                  <c:v>0.20509752876138934</c:v>
                </c:pt>
                <c:pt idx="29">
                  <c:v>0.19389287983794812</c:v>
                </c:pt>
                <c:pt idx="30">
                  <c:v>0.1833003502230903</c:v>
                </c:pt>
                <c:pt idx="31">
                  <c:v>0.17328649932885085</c:v>
                </c:pt>
                <c:pt idx="32">
                  <c:v>0.16381971345445456</c:v>
                </c:pt>
                <c:pt idx="33">
                  <c:v>0.15487010598194637</c:v>
                </c:pt>
                <c:pt idx="34">
                  <c:v>0.14640942302421725</c:v>
                </c:pt>
                <c:pt idx="35">
                  <c:v>0.13841095422755781</c:v>
                </c:pt>
                <c:pt idx="36">
                  <c:v>0.13084944844714186</c:v>
                </c:pt>
                <c:pt idx="37">
                  <c:v>0.12370103402922936</c:v>
                </c:pt>
                <c:pt idx="38">
                  <c:v>0.11694314344841851</c:v>
                </c:pt>
                <c:pt idx="39">
                  <c:v>0.11055444206202804</c:v>
                </c:pt>
                <c:pt idx="40">
                  <c:v>0.10451476075668635</c:v>
                </c:pt>
                <c:pt idx="41">
                  <c:v>9.8805032274494262E-2</c:v>
                </c:pt>
                <c:pt idx="42">
                  <c:v>9.3407231017742134E-2</c:v>
                </c:pt>
                <c:pt idx="43">
                  <c:v>8.8304316142145678E-2</c:v>
                </c:pt>
                <c:pt idx="44">
                  <c:v>8.3480177758945562E-2</c:v>
                </c:pt>
                <c:pt idx="45">
                  <c:v>7.8919586076031376E-2</c:v>
                </c:pt>
                <c:pt idx="46">
                  <c:v>7.4608143317528006E-2</c:v>
                </c:pt>
                <c:pt idx="47">
                  <c:v>7.0532238270055503E-2</c:v>
                </c:pt>
                <c:pt idx="48">
                  <c:v>6.6679003312164337E-2</c:v>
                </c:pt>
                <c:pt idx="49">
                  <c:v>6.303627379128858E-2</c:v>
                </c:pt>
                <c:pt idx="50">
                  <c:v>5.9592549619969994E-2</c:v>
                </c:pt>
                <c:pt idx="51">
                  <c:v>5.633695897011224E-2</c:v>
                </c:pt>
                <c:pt idx="52">
                  <c:v>5.3259223950648416E-2</c:v>
                </c:pt>
                <c:pt idx="53">
                  <c:v>5.0349628160266141E-2</c:v>
                </c:pt>
                <c:pt idx="54">
                  <c:v>4.7598986012754328E-2</c:v>
                </c:pt>
                <c:pt idx="55">
                  <c:v>4.4998613738131875E-2</c:v>
                </c:pt>
                <c:pt idx="56">
                  <c:v>4.2540301968008676E-2</c:v>
                </c:pt>
                <c:pt idx="57">
                  <c:v>4.0216289818631464E-2</c:v>
                </c:pt>
                <c:pt idx="58">
                  <c:v>3.801924038979429E-2</c:v>
                </c:pt>
                <c:pt idx="59">
                  <c:v>3.5942217602263959E-2</c:v>
                </c:pt>
                <c:pt idx="60">
                  <c:v>3.3978664300596338E-2</c:v>
                </c:pt>
                <c:pt idx="61">
                  <c:v>3.2122381552213863E-2</c:v>
                </c:pt>
                <c:pt idx="62">
                  <c:v>3.0367509077391847E-2</c:v>
                </c:pt>
                <c:pt idx="63">
                  <c:v>2.8708506748370884E-2</c:v>
                </c:pt>
                <c:pt idx="64">
                  <c:v>2.7140137099188194E-2</c:v>
                </c:pt>
                <c:pt idx="65">
                  <c:v>2.5657448791011391E-2</c:v>
                </c:pt>
                <c:pt idx="66">
                  <c:v>2.4255760980774973E-2</c:v>
                </c:pt>
                <c:pt idx="67">
                  <c:v>2.293064854377105E-2</c:v>
                </c:pt>
                <c:pt idx="68">
                  <c:v>2.167792810354242E-2</c:v>
                </c:pt>
                <c:pt idx="69">
                  <c:v>2.0493644824974133E-2</c:v>
                </c:pt>
                <c:pt idx="70">
                  <c:v>1.9374059928889506E-2</c:v>
                </c:pt>
                <c:pt idx="71">
                  <c:v>1.8315638888734179E-2</c:v>
                </c:pt>
                <c:pt idx="72">
                  <c:v>1.7315040272085101E-2</c:v>
                </c:pt>
                <c:pt idx="73">
                  <c:v>1.6369105191757192E-2</c:v>
                </c:pt>
              </c:numCache>
            </c:numRef>
          </c:val>
          <c:smooth val="0"/>
        </c:ser>
        <c:dLbls>
          <c:showLegendKey val="0"/>
          <c:showVal val="0"/>
          <c:showCatName val="0"/>
          <c:showSerName val="0"/>
          <c:showPercent val="0"/>
          <c:showBubbleSize val="0"/>
        </c:dLbls>
        <c:marker val="1"/>
        <c:smooth val="0"/>
        <c:axId val="117843840"/>
        <c:axId val="117845376"/>
      </c:lineChart>
      <c:catAx>
        <c:axId val="117843840"/>
        <c:scaling>
          <c:orientation val="minMax"/>
        </c:scaling>
        <c:delete val="0"/>
        <c:axPos val="b"/>
        <c:numFmt formatCode="General" sourceLinked="1"/>
        <c:majorTickMark val="out"/>
        <c:minorTickMark val="none"/>
        <c:tickLblPos val="nextTo"/>
        <c:crossAx val="117845376"/>
        <c:crosses val="autoZero"/>
        <c:auto val="1"/>
        <c:lblAlgn val="ctr"/>
        <c:lblOffset val="100"/>
        <c:noMultiLvlLbl val="0"/>
      </c:catAx>
      <c:valAx>
        <c:axId val="117845376"/>
        <c:scaling>
          <c:orientation val="minMax"/>
          <c:max val="1"/>
        </c:scaling>
        <c:delete val="0"/>
        <c:axPos val="l"/>
        <c:majorGridlines/>
        <c:numFmt formatCode="General" sourceLinked="1"/>
        <c:majorTickMark val="out"/>
        <c:minorTickMark val="none"/>
        <c:tickLblPos val="nextTo"/>
        <c:crossAx val="117843840"/>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136.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pt-PT"/>
              <a:t>Forno</a:t>
            </a:r>
            <a:r>
              <a:rPr lang="pt-PT" baseline="0"/>
              <a:t> 3 - Torre de Ciclones</a:t>
            </a:r>
            <a:endParaRPr lang="pt-PT"/>
          </a:p>
        </c:rich>
      </c:tx>
      <c:overlay val="0"/>
    </c:title>
    <c:autoTitleDeleted val="0"/>
    <c:plotArea>
      <c:layout/>
      <c:lineChart>
        <c:grouping val="standard"/>
        <c:varyColors val="0"/>
        <c:ser>
          <c:idx val="0"/>
          <c:order val="0"/>
          <c:tx>
            <c:v>2010</c:v>
          </c:tx>
          <c:marker>
            <c:symbol val="none"/>
          </c:marker>
          <c:cat>
            <c:numRef>
              <c:f>'Inciner 3 - Total - Exponencial'!$AJ$6:$AJ$79</c:f>
              <c:numCache>
                <c:formatCode>General</c:formatCode>
                <c:ptCount val="74"/>
                <c:pt idx="0">
                  <c:v>1</c:v>
                </c:pt>
                <c:pt idx="1">
                  <c:v>6</c:v>
                </c:pt>
                <c:pt idx="2">
                  <c:v>11</c:v>
                </c:pt>
                <c:pt idx="3">
                  <c:v>16</c:v>
                </c:pt>
                <c:pt idx="4">
                  <c:v>21</c:v>
                </c:pt>
                <c:pt idx="5">
                  <c:v>26</c:v>
                </c:pt>
                <c:pt idx="6">
                  <c:v>31</c:v>
                </c:pt>
                <c:pt idx="7">
                  <c:v>36</c:v>
                </c:pt>
                <c:pt idx="8">
                  <c:v>41</c:v>
                </c:pt>
                <c:pt idx="9">
                  <c:v>46</c:v>
                </c:pt>
                <c:pt idx="10">
                  <c:v>51</c:v>
                </c:pt>
                <c:pt idx="11">
                  <c:v>56</c:v>
                </c:pt>
                <c:pt idx="12">
                  <c:v>61</c:v>
                </c:pt>
                <c:pt idx="13">
                  <c:v>66</c:v>
                </c:pt>
                <c:pt idx="14">
                  <c:v>71</c:v>
                </c:pt>
                <c:pt idx="15">
                  <c:v>76</c:v>
                </c:pt>
                <c:pt idx="16">
                  <c:v>81</c:v>
                </c:pt>
                <c:pt idx="17">
                  <c:v>86</c:v>
                </c:pt>
                <c:pt idx="18">
                  <c:v>91</c:v>
                </c:pt>
                <c:pt idx="19">
                  <c:v>96</c:v>
                </c:pt>
                <c:pt idx="20">
                  <c:v>101</c:v>
                </c:pt>
                <c:pt idx="21">
                  <c:v>106</c:v>
                </c:pt>
                <c:pt idx="22">
                  <c:v>111</c:v>
                </c:pt>
                <c:pt idx="23">
                  <c:v>116</c:v>
                </c:pt>
                <c:pt idx="24">
                  <c:v>121</c:v>
                </c:pt>
                <c:pt idx="25">
                  <c:v>126</c:v>
                </c:pt>
                <c:pt idx="26">
                  <c:v>131</c:v>
                </c:pt>
                <c:pt idx="27">
                  <c:v>136</c:v>
                </c:pt>
                <c:pt idx="28">
                  <c:v>141</c:v>
                </c:pt>
                <c:pt idx="29">
                  <c:v>146</c:v>
                </c:pt>
                <c:pt idx="30">
                  <c:v>151</c:v>
                </c:pt>
                <c:pt idx="31">
                  <c:v>156</c:v>
                </c:pt>
                <c:pt idx="32">
                  <c:v>161</c:v>
                </c:pt>
                <c:pt idx="33">
                  <c:v>166</c:v>
                </c:pt>
                <c:pt idx="34">
                  <c:v>171</c:v>
                </c:pt>
                <c:pt idx="35">
                  <c:v>176</c:v>
                </c:pt>
                <c:pt idx="36">
                  <c:v>181</c:v>
                </c:pt>
                <c:pt idx="37">
                  <c:v>186</c:v>
                </c:pt>
                <c:pt idx="38">
                  <c:v>191</c:v>
                </c:pt>
                <c:pt idx="39">
                  <c:v>196</c:v>
                </c:pt>
                <c:pt idx="40">
                  <c:v>201</c:v>
                </c:pt>
                <c:pt idx="41">
                  <c:v>206</c:v>
                </c:pt>
                <c:pt idx="42">
                  <c:v>211</c:v>
                </c:pt>
                <c:pt idx="43">
                  <c:v>216</c:v>
                </c:pt>
                <c:pt idx="44">
                  <c:v>221</c:v>
                </c:pt>
                <c:pt idx="45">
                  <c:v>226</c:v>
                </c:pt>
                <c:pt idx="46">
                  <c:v>231</c:v>
                </c:pt>
                <c:pt idx="47">
                  <c:v>236</c:v>
                </c:pt>
                <c:pt idx="48">
                  <c:v>241</c:v>
                </c:pt>
                <c:pt idx="49">
                  <c:v>246</c:v>
                </c:pt>
                <c:pt idx="50">
                  <c:v>251</c:v>
                </c:pt>
                <c:pt idx="51">
                  <c:v>256</c:v>
                </c:pt>
                <c:pt idx="52">
                  <c:v>261</c:v>
                </c:pt>
                <c:pt idx="53">
                  <c:v>266</c:v>
                </c:pt>
                <c:pt idx="54">
                  <c:v>271</c:v>
                </c:pt>
                <c:pt idx="55">
                  <c:v>276</c:v>
                </c:pt>
                <c:pt idx="56">
                  <c:v>281</c:v>
                </c:pt>
                <c:pt idx="57">
                  <c:v>286</c:v>
                </c:pt>
                <c:pt idx="58">
                  <c:v>291</c:v>
                </c:pt>
                <c:pt idx="59">
                  <c:v>296</c:v>
                </c:pt>
                <c:pt idx="60">
                  <c:v>301</c:v>
                </c:pt>
                <c:pt idx="61">
                  <c:v>306</c:v>
                </c:pt>
                <c:pt idx="62">
                  <c:v>311</c:v>
                </c:pt>
                <c:pt idx="63">
                  <c:v>316</c:v>
                </c:pt>
                <c:pt idx="64">
                  <c:v>321</c:v>
                </c:pt>
                <c:pt idx="65">
                  <c:v>326</c:v>
                </c:pt>
                <c:pt idx="66">
                  <c:v>331</c:v>
                </c:pt>
                <c:pt idx="67">
                  <c:v>336</c:v>
                </c:pt>
                <c:pt idx="68">
                  <c:v>341</c:v>
                </c:pt>
                <c:pt idx="69">
                  <c:v>346</c:v>
                </c:pt>
                <c:pt idx="70">
                  <c:v>351</c:v>
                </c:pt>
                <c:pt idx="71">
                  <c:v>356</c:v>
                </c:pt>
                <c:pt idx="72">
                  <c:v>361</c:v>
                </c:pt>
                <c:pt idx="73">
                  <c:v>366</c:v>
                </c:pt>
              </c:numCache>
            </c:numRef>
          </c:cat>
          <c:val>
            <c:numRef>
              <c:f>'Inciner 3 - Total - Exponencial'!$AY$6:$AY$79</c:f>
              <c:numCache>
                <c:formatCode>General</c:formatCode>
                <c:ptCount val="74"/>
                <c:pt idx="0">
                  <c:v>0.99721836062779279</c:v>
                </c:pt>
                <c:pt idx="1">
                  <c:v>0.98342579696807908</c:v>
                </c:pt>
                <c:pt idx="2">
                  <c:v>0.96982399876136749</c:v>
                </c:pt>
                <c:pt idx="3">
                  <c:v>0.95641032752369259</c:v>
                </c:pt>
                <c:pt idx="4">
                  <c:v>0.94318218126405728</c:v>
                </c:pt>
                <c:pt idx="5">
                  <c:v>0.93013699397969707</c:v>
                </c:pt>
                <c:pt idx="6">
                  <c:v>0.9172722351583259</c:v>
                </c:pt>
                <c:pt idx="7">
                  <c:v>0.9045854092872655</c:v>
                </c:pt>
                <c:pt idx="8">
                  <c:v>0.89207405536936502</c:v>
                </c:pt>
                <c:pt idx="9">
                  <c:v>0.87973574644561525</c:v>
                </c:pt>
                <c:pt idx="10">
                  <c:v>0.867568089124366</c:v>
                </c:pt>
                <c:pt idx="11">
                  <c:v>0.85556872311705456</c:v>
                </c:pt>
                <c:pt idx="12">
                  <c:v>0.84373532078035562</c:v>
                </c:pt>
                <c:pt idx="13">
                  <c:v>0.83206558666466413</c:v>
                </c:pt>
                <c:pt idx="14">
                  <c:v>0.82055725706882254</c:v>
                </c:pt>
                <c:pt idx="15">
                  <c:v>0.80920809960100692</c:v>
                </c:pt>
                <c:pt idx="16">
                  <c:v>0.79801591274568617</c:v>
                </c:pt>
                <c:pt idx="17">
                  <c:v>0.78697852543657143</c:v>
                </c:pt>
                <c:pt idx="18">
                  <c:v>0.77609379663547085</c:v>
                </c:pt>
                <c:pt idx="19">
                  <c:v>0.76535961491697058</c:v>
                </c:pt>
                <c:pt idx="20">
                  <c:v>0.75477389805885875</c:v>
                </c:pt>
                <c:pt idx="21">
                  <c:v>0.74433459263821511</c:v>
                </c:pt>
                <c:pt idx="22">
                  <c:v>0.73403967363308709</c:v>
                </c:pt>
                <c:pt idx="23">
                  <c:v>0.7238871440296748</c:v>
                </c:pt>
                <c:pt idx="24">
                  <c:v>0.7138750344349496</c:v>
                </c:pt>
                <c:pt idx="25">
                  <c:v>0.70400140269462974</c:v>
                </c:pt>
                <c:pt idx="26">
                  <c:v>0.69426433351644024</c:v>
                </c:pt>
                <c:pt idx="27">
                  <c:v>0.68466193809858422</c:v>
                </c:pt>
                <c:pt idx="28">
                  <c:v>0.67519235376335118</c:v>
                </c:pt>
                <c:pt idx="29">
                  <c:v>0.66585374359579441</c:v>
                </c:pt>
                <c:pt idx="30">
                  <c:v>0.65664429608740515</c:v>
                </c:pt>
                <c:pt idx="31">
                  <c:v>0.64756222478471492</c:v>
                </c:pt>
                <c:pt idx="32">
                  <c:v>0.63860576794275881</c:v>
                </c:pt>
                <c:pt idx="33">
                  <c:v>0.62977318818333095</c:v>
                </c:pt>
                <c:pt idx="34">
                  <c:v>0.62106277215796701</c:v>
                </c:pt>
                <c:pt idx="35">
                  <c:v>0.61247283021558807</c:v>
                </c:pt>
                <c:pt idx="36">
                  <c:v>0.60400169607474108</c:v>
                </c:pt>
                <c:pt idx="37">
                  <c:v>0.5956477265003729</c:v>
                </c:pt>
                <c:pt idx="38">
                  <c:v>0.58740930098507438</c:v>
                </c:pt>
                <c:pt idx="39">
                  <c:v>0.57928482143473381</c:v>
                </c:pt>
                <c:pt idx="40">
                  <c:v>0.57127271185853779</c:v>
                </c:pt>
                <c:pt idx="41">
                  <c:v>0.56337141806325919</c:v>
                </c:pt>
                <c:pt idx="42">
                  <c:v>0.5555794073517748</c:v>
                </c:pt>
                <c:pt idx="43">
                  <c:v>0.54789516822575102</c:v>
                </c:pt>
                <c:pt idx="44">
                  <c:v>0.54031721009244316</c:v>
                </c:pt>
                <c:pt idx="45">
                  <c:v>0.53284406297554965</c:v>
                </c:pt>
                <c:pt idx="46">
                  <c:v>0.52547427723006446</c:v>
                </c:pt>
                <c:pt idx="47">
                  <c:v>0.51820642326107513</c:v>
                </c:pt>
                <c:pt idx="48">
                  <c:v>0.51103909124644864</c:v>
                </c:pt>
                <c:pt idx="49">
                  <c:v>0.50397089086335345</c:v>
                </c:pt>
                <c:pt idx="50">
                  <c:v>0.4970004510185641</c:v>
                </c:pt>
                <c:pt idx="51">
                  <c:v>0.49012641958249575</c:v>
                </c:pt>
                <c:pt idx="52">
                  <c:v>0.48334746312691729</c:v>
                </c:pt>
                <c:pt idx="53">
                  <c:v>0.47666226666629236</c:v>
                </c:pt>
                <c:pt idx="54">
                  <c:v>0.47006953340269758</c:v>
                </c:pt>
                <c:pt idx="55">
                  <c:v>0.46356798447426928</c:v>
                </c:pt>
                <c:pt idx="56">
                  <c:v>0.45715635870712901</c:v>
                </c:pt>
                <c:pt idx="57">
                  <c:v>0.45083341237074037</c:v>
                </c:pt>
                <c:pt idx="58">
                  <c:v>0.44459791893664952</c:v>
                </c:pt>
                <c:pt idx="59">
                  <c:v>0.43844866884056272</c:v>
                </c:pt>
                <c:pt idx="60">
                  <c:v>0.43238446924771412</c:v>
                </c:pt>
                <c:pt idx="61">
                  <c:v>0.42640414382147923</c:v>
                </c:pt>
                <c:pt idx="62">
                  <c:v>0.42050653249518855</c:v>
                </c:pt>
                <c:pt idx="63">
                  <c:v>0.41469049124709711</c:v>
                </c:pt>
                <c:pt idx="64">
                  <c:v>0.40895489187846656</c:v>
                </c:pt>
                <c:pt idx="65">
                  <c:v>0.40329862179471665</c:v>
                </c:pt>
                <c:pt idx="66">
                  <c:v>0.39772058378960357</c:v>
                </c:pt>
                <c:pt idx="67">
                  <c:v>0.39221969583238303</c:v>
                </c:pt>
                <c:pt idx="68">
                  <c:v>0.38679489085791779</c:v>
                </c:pt>
                <c:pt idx="69">
                  <c:v>0.38144511655968755</c:v>
                </c:pt>
                <c:pt idx="70">
                  <c:v>0.37616933518566198</c:v>
                </c:pt>
                <c:pt idx="71">
                  <c:v>0.37096652333699709</c:v>
                </c:pt>
                <c:pt idx="72">
                  <c:v>0.36583567176951587</c:v>
                </c:pt>
                <c:pt idx="73">
                  <c:v>0.36077578519793424</c:v>
                </c:pt>
              </c:numCache>
            </c:numRef>
          </c:val>
          <c:smooth val="0"/>
        </c:ser>
        <c:ser>
          <c:idx val="1"/>
          <c:order val="1"/>
          <c:tx>
            <c:v>2011</c:v>
          </c:tx>
          <c:marker>
            <c:symbol val="none"/>
          </c:marker>
          <c:val>
            <c:numRef>
              <c:f>'Inciner 3 - Total - Exponencial'!$AZ$6:$AZ$79</c:f>
              <c:numCache>
                <c:formatCode>General</c:formatCode>
                <c:ptCount val="74"/>
                <c:pt idx="0">
                  <c:v>0.99163184820119987</c:v>
                </c:pt>
                <c:pt idx="1">
                  <c:v>0.95082983222576778</c:v>
                </c:pt>
                <c:pt idx="2">
                  <c:v>0.91170666965815983</c:v>
                </c:pt>
                <c:pt idx="3">
                  <c:v>0.87419328183406031</c:v>
                </c:pt>
                <c:pt idx="4">
                  <c:v>0.8382234324229999</c:v>
                </c:pt>
                <c:pt idx="5">
                  <c:v>0.80373361047673531</c:v>
                </c:pt>
                <c:pt idx="6">
                  <c:v>0.77066291828975986</c:v>
                </c:pt>
                <c:pt idx="7">
                  <c:v>0.73895296387394338</c:v>
                </c:pt>
                <c:pt idx="8">
                  <c:v>0.70854775785744606</c:v>
                </c:pt>
                <c:pt idx="9">
                  <c:v>0.67939361462586423</c:v>
                </c:pt>
                <c:pt idx="10">
                  <c:v>0.65143905753105558</c:v>
                </c:pt>
                <c:pt idx="11">
                  <c:v>0.62463472800027442</c:v>
                </c:pt>
                <c:pt idx="12">
                  <c:v>0.59893329838513198</c:v>
                </c:pt>
                <c:pt idx="13">
                  <c:v>0.57428938839650279</c:v>
                </c:pt>
                <c:pt idx="14">
                  <c:v>0.55065948497782913</c:v>
                </c:pt>
                <c:pt idx="15">
                  <c:v>0.52800186547534433</c:v>
                </c:pt>
                <c:pt idx="16">
                  <c:v>0.50627652396956024</c:v>
                </c:pt>
                <c:pt idx="17">
                  <c:v>0.48544510063794399</c:v>
                </c:pt>
                <c:pt idx="18">
                  <c:v>0.46547081402406171</c:v>
                </c:pt>
                <c:pt idx="19">
                  <c:v>0.44631839609359841</c:v>
                </c:pt>
                <c:pt idx="20">
                  <c:v>0.42795402996258514</c:v>
                </c:pt>
                <c:pt idx="21">
                  <c:v>0.41034529018788096</c:v>
                </c:pt>
                <c:pt idx="22">
                  <c:v>0.39346108551448272</c:v>
                </c:pt>
                <c:pt idx="23">
                  <c:v>0.37727160397857362</c:v>
                </c:pt>
                <c:pt idx="24">
                  <c:v>0.36174826026937951</c:v>
                </c:pt>
                <c:pt idx="25">
                  <c:v>0.34686364525689234</c:v>
                </c:pt>
                <c:pt idx="26">
                  <c:v>0.33259147759634267</c:v>
                </c:pt>
                <c:pt idx="27">
                  <c:v>0.31890655732397044</c:v>
                </c:pt>
                <c:pt idx="28">
                  <c:v>0.30578472136216034</c:v>
                </c:pt>
                <c:pt idx="29">
                  <c:v>0.29320280085537731</c:v>
                </c:pt>
                <c:pt idx="30">
                  <c:v>0.28113858026157157</c:v>
                </c:pt>
                <c:pt idx="31">
                  <c:v>0.26957075812682357</c:v>
                </c:pt>
                <c:pt idx="32">
                  <c:v>0.25847890947396718</c:v>
                </c:pt>
                <c:pt idx="33">
                  <c:v>0.24784344973878408</c:v>
                </c:pt>
                <c:pt idx="34">
                  <c:v>0.23764560019009123</c:v>
                </c:pt>
                <c:pt idx="35">
                  <c:v>0.22786735477266509</c:v>
                </c:pt>
                <c:pt idx="36">
                  <c:v>0.21849144831445771</c:v>
                </c:pt>
                <c:pt idx="37">
                  <c:v>0.20950132604196997</c:v>
                </c:pt>
                <c:pt idx="38">
                  <c:v>0.20088111434995476</c:v>
                </c:pt>
                <c:pt idx="39">
                  <c:v>0.19261559277384013</c:v>
                </c:pt>
                <c:pt idx="40">
                  <c:v>0.18469016711538452</c:v>
                </c:pt>
                <c:pt idx="41">
                  <c:v>0.17709084367411268</c:v>
                </c:pt>
                <c:pt idx="42">
                  <c:v>0.16980420453903336</c:v>
                </c:pt>
                <c:pt idx="43">
                  <c:v>0.16281738389701275</c:v>
                </c:pt>
                <c:pt idx="44">
                  <c:v>0.15611804531597109</c:v>
                </c:pt>
                <c:pt idx="45">
                  <c:v>0.14969435996279248</c:v>
                </c:pt>
                <c:pt idx="46">
                  <c:v>0.14353498571748824</c:v>
                </c:pt>
                <c:pt idx="47">
                  <c:v>0.13762904714673543</c:v>
                </c:pt>
                <c:pt idx="48">
                  <c:v>0.13196611630143124</c:v>
                </c:pt>
                <c:pt idx="49">
                  <c:v>0.12653619430435736</c:v>
                </c:pt>
                <c:pt idx="50">
                  <c:v>0.12132969369544465</c:v>
                </c:pt>
                <c:pt idx="51">
                  <c:v>0.11633742150346545</c:v>
                </c:pt>
                <c:pt idx="52">
                  <c:v>0.11155056301426348</c:v>
                </c:pt>
                <c:pt idx="53">
                  <c:v>0.10696066620686187</c:v>
                </c:pt>
                <c:pt idx="54">
                  <c:v>0.10255962682996832</c:v>
                </c:pt>
                <c:pt idx="55">
                  <c:v>9.8339674092526932E-2</c:v>
                </c:pt>
                <c:pt idx="56">
                  <c:v>9.4293356943051951E-2</c:v>
                </c:pt>
                <c:pt idx="57">
                  <c:v>9.0413530913516352E-2</c:v>
                </c:pt>
                <c:pt idx="58">
                  <c:v>8.6693345504566074E-2</c:v>
                </c:pt>
                <c:pt idx="59">
                  <c:v>8.3126232089786686E-2</c:v>
                </c:pt>
                <c:pt idx="60">
                  <c:v>7.9705892317665172E-2</c:v>
                </c:pt>
                <c:pt idx="61">
                  <c:v>7.6426286990768116E-2</c:v>
                </c:pt>
                <c:pt idx="62">
                  <c:v>7.3281625402501355E-2</c:v>
                </c:pt>
                <c:pt idx="63">
                  <c:v>7.0266355112622761E-2</c:v>
                </c:pt>
                <c:pt idx="64">
                  <c:v>6.7375152143455019E-2</c:v>
                </c:pt>
                <c:pt idx="65">
                  <c:v>6.4602911579488526E-2</c:v>
                </c:pt>
                <c:pt idx="66">
                  <c:v>6.1944738553776177E-2</c:v>
                </c:pt>
                <c:pt idx="67">
                  <c:v>5.9395939605204784E-2</c:v>
                </c:pt>
                <c:pt idx="68">
                  <c:v>5.6952014391383234E-2</c:v>
                </c:pt>
                <c:pt idx="69">
                  <c:v>5.4608647742515011E-2</c:v>
                </c:pt>
                <c:pt idx="70">
                  <c:v>5.2361702042224491E-2</c:v>
                </c:pt>
                <c:pt idx="71">
                  <c:v>5.0207209921884495E-2</c:v>
                </c:pt>
                <c:pt idx="72">
                  <c:v>4.814136725554554E-2</c:v>
                </c:pt>
                <c:pt idx="73">
                  <c:v>4.6160526443097816E-2</c:v>
                </c:pt>
              </c:numCache>
            </c:numRef>
          </c:val>
          <c:smooth val="0"/>
        </c:ser>
        <c:ser>
          <c:idx val="2"/>
          <c:order val="2"/>
          <c:tx>
            <c:v>2012</c:v>
          </c:tx>
          <c:marker>
            <c:symbol val="none"/>
          </c:marker>
          <c:val>
            <c:numRef>
              <c:f>'Inciner 3 - Total - Exponencial'!$BA$6:$BA$79</c:f>
              <c:numCache>
                <c:formatCode>General</c:formatCode>
                <c:ptCount val="74"/>
                <c:pt idx="0">
                  <c:v>0.98019867330675525</c:v>
                </c:pt>
                <c:pt idx="1">
                  <c:v>0.88692043671715748</c:v>
                </c:pt>
                <c:pt idx="2">
                  <c:v>0.80251879796247849</c:v>
                </c:pt>
                <c:pt idx="3">
                  <c:v>0.72614903707369094</c:v>
                </c:pt>
                <c:pt idx="4">
                  <c:v>0.65704681981505675</c:v>
                </c:pt>
                <c:pt idx="5">
                  <c:v>0.59452054797019438</c:v>
                </c:pt>
                <c:pt idx="6">
                  <c:v>0.53794443759467447</c:v>
                </c:pt>
                <c:pt idx="7">
                  <c:v>0.48675225595997168</c:v>
                </c:pt>
                <c:pt idx="8">
                  <c:v>0.44043165450599925</c:v>
                </c:pt>
                <c:pt idx="9">
                  <c:v>0.39851904108451414</c:v>
                </c:pt>
                <c:pt idx="10">
                  <c:v>0.3605949401730783</c:v>
                </c:pt>
                <c:pt idx="11">
                  <c:v>0.32627979462303947</c:v>
                </c:pt>
                <c:pt idx="12">
                  <c:v>0.29523016692401421</c:v>
                </c:pt>
                <c:pt idx="13">
                  <c:v>0.26713530196585034</c:v>
                </c:pt>
                <c:pt idx="14">
                  <c:v>0.24171401689703645</c:v>
                </c:pt>
                <c:pt idx="15">
                  <c:v>0.21871188695221475</c:v>
                </c:pt>
                <c:pt idx="16">
                  <c:v>0.19789869908361465</c:v>
                </c:pt>
                <c:pt idx="17">
                  <c:v>0.17906614791149322</c:v>
                </c:pt>
                <c:pt idx="18">
                  <c:v>0.16202575093388075</c:v>
                </c:pt>
                <c:pt idx="19">
                  <c:v>0.14660696213035015</c:v>
                </c:pt>
                <c:pt idx="20">
                  <c:v>0.13265546508012172</c:v>
                </c:pt>
                <c:pt idx="21">
                  <c:v>0.12003162851145673</c:v>
                </c:pt>
                <c:pt idx="22">
                  <c:v>0.10860910882495796</c:v>
                </c:pt>
                <c:pt idx="23">
                  <c:v>9.8273585604361544E-2</c:v>
                </c:pt>
                <c:pt idx="24">
                  <c:v>8.8921617459386343E-2</c:v>
                </c:pt>
                <c:pt idx="25">
                  <c:v>8.0459606749532439E-2</c:v>
                </c:pt>
                <c:pt idx="26">
                  <c:v>7.2802862827435588E-2</c:v>
                </c:pt>
                <c:pt idx="27">
                  <c:v>6.5874754426402948E-2</c:v>
                </c:pt>
                <c:pt idx="28">
                  <c:v>5.9605942708939368E-2</c:v>
                </c:pt>
                <c:pt idx="29">
                  <c:v>5.3933687300356019E-2</c:v>
                </c:pt>
                <c:pt idx="30">
                  <c:v>4.8801218362012962E-2</c:v>
                </c:pt>
                <c:pt idx="31">
                  <c:v>4.415716841969286E-2</c:v>
                </c:pt>
                <c:pt idx="32">
                  <c:v>3.9955058260653896E-2</c:v>
                </c:pt>
                <c:pt idx="33">
                  <c:v>3.6152831754046412E-2</c:v>
                </c:pt>
                <c:pt idx="34">
                  <c:v>3.2712434939019819E-2</c:v>
                </c:pt>
                <c:pt idx="35">
                  <c:v>2.9599435167891999E-2</c:v>
                </c:pt>
                <c:pt idx="36">
                  <c:v>2.6782676492638175E-2</c:v>
                </c:pt>
                <c:pt idx="37">
                  <c:v>2.4233967845691113E-2</c:v>
                </c:pt>
                <c:pt idx="38">
                  <c:v>2.192780089426161E-2</c:v>
                </c:pt>
                <c:pt idx="39">
                  <c:v>1.9841094744370288E-2</c:v>
                </c:pt>
                <c:pt idx="40">
                  <c:v>1.7952964939502849E-2</c:v>
                </c:pt>
                <c:pt idx="41">
                  <c:v>1.6244514441949871E-2</c:v>
                </c:pt>
                <c:pt idx="42">
                  <c:v>1.4698644504901784E-2</c:v>
                </c:pt>
                <c:pt idx="43">
                  <c:v>1.3299883542443767E-2</c:v>
                </c:pt>
                <c:pt idx="44">
                  <c:v>1.2034232284723775E-2</c:v>
                </c:pt>
                <c:pt idx="45">
                  <c:v>1.088902366855444E-2</c:v>
                </c:pt>
                <c:pt idx="46">
                  <c:v>9.8527960611872571E-3</c:v>
                </c:pt>
                <c:pt idx="47">
                  <c:v>8.9151785484395535E-3</c:v>
                </c:pt>
                <c:pt idx="48">
                  <c:v>8.0667871390996144E-3</c:v>
                </c:pt>
                <c:pt idx="49">
                  <c:v>7.2991308467885829E-3</c:v>
                </c:pt>
                <c:pt idx="50">
                  <c:v>6.6045267093148051E-3</c:v>
                </c:pt>
                <c:pt idx="51">
                  <c:v>5.9760228950059427E-3</c:v>
                </c:pt>
                <c:pt idx="52">
                  <c:v>5.4073291264409599E-3</c:v>
                </c:pt>
                <c:pt idx="53">
                  <c:v>4.8927537252394758E-3</c:v>
                </c:pt>
                <c:pt idx="54">
                  <c:v>4.4271466478315114E-3</c:v>
                </c:pt>
                <c:pt idx="55">
                  <c:v>4.0058479420904168E-3</c:v>
                </c:pt>
                <c:pt idx="56">
                  <c:v>3.6246411089657558E-3</c:v>
                </c:pt>
                <c:pt idx="57">
                  <c:v>3.279710902343573E-3</c:v>
                </c:pt>
                <c:pt idx="58">
                  <c:v>2.9676051447809441E-3</c:v>
                </c:pt>
                <c:pt idx="59">
                  <c:v>2.6852001769538205E-3</c:v>
                </c:pt>
                <c:pt idx="60">
                  <c:v>2.4296695950245953E-3</c:v>
                </c:pt>
                <c:pt idx="61">
                  <c:v>2.1984559630425313E-3</c:v>
                </c:pt>
                <c:pt idx="62">
                  <c:v>1.9892452172651635E-3</c:v>
                </c:pt>
                <c:pt idx="63">
                  <c:v>1.7999435062305911E-3</c:v>
                </c:pt>
                <c:pt idx="64">
                  <c:v>1.6286562347882806E-3</c:v>
                </c:pt>
                <c:pt idx="65">
                  <c:v>1.4736691023539948E-3</c:v>
                </c:pt>
                <c:pt idx="66">
                  <c:v>1.3334309456133593E-3</c:v>
                </c:pt>
                <c:pt idx="67">
                  <c:v>1.2065382139580404E-3</c:v>
                </c:pt>
                <c:pt idx="68">
                  <c:v>1.0917209222795108E-3</c:v>
                </c:pt>
                <c:pt idx="69">
                  <c:v>9.8782994053122947E-4</c:v>
                </c:pt>
                <c:pt idx="70">
                  <c:v>8.9382549284889267E-4</c:v>
                </c:pt>
                <c:pt idx="71">
                  <c:v>8.0876675112411141E-4</c:v>
                </c:pt>
                <c:pt idx="72">
                  <c:v>7.3180241888047277E-4</c:v>
                </c:pt>
                <c:pt idx="73">
                  <c:v>6.6216221121227639E-4</c:v>
                </c:pt>
              </c:numCache>
            </c:numRef>
          </c:val>
          <c:smooth val="0"/>
        </c:ser>
        <c:ser>
          <c:idx val="3"/>
          <c:order val="3"/>
          <c:tx>
            <c:v>2013</c:v>
          </c:tx>
          <c:marker>
            <c:symbol val="none"/>
          </c:marker>
          <c:val>
            <c:numRef>
              <c:f>'Inciner 3 - Total - Exponencial'!$BB$6:$BB$79</c:f>
              <c:numCache>
                <c:formatCode>General</c:formatCode>
                <c:ptCount val="74"/>
                <c:pt idx="0">
                  <c:v>0.99833194367316302</c:v>
                </c:pt>
                <c:pt idx="1">
                  <c:v>0.99003330550927482</c:v>
                </c:pt>
                <c:pt idx="2">
                  <c:v>0.98180364980739387</c:v>
                </c:pt>
                <c:pt idx="3">
                  <c:v>0.97364240315053663</c:v>
                </c:pt>
                <c:pt idx="4">
                  <c:v>0.96554899688825024</c:v>
                </c:pt>
                <c:pt idx="5">
                  <c:v>0.95752286709699108</c:v>
                </c:pt>
                <c:pt idx="6">
                  <c:v>0.94956345454083202</c:v>
                </c:pt>
                <c:pt idx="7">
                  <c:v>0.94167020463249707</c:v>
                </c:pt>
                <c:pt idx="8">
                  <c:v>0.9338425673947186</c:v>
                </c:pt>
                <c:pt idx="9">
                  <c:v>0.92607999742191782</c:v>
                </c:pt>
                <c:pt idx="10">
                  <c:v>0.91838195384220134</c:v>
                </c:pt>
                <c:pt idx="11">
                  <c:v>0.91074790027967578</c:v>
                </c:pt>
                <c:pt idx="12">
                  <c:v>0.90317730481707448</c:v>
                </c:pt>
                <c:pt idx="13">
                  <c:v>0.89566963995869497</c:v>
                </c:pt>
                <c:pt idx="14">
                  <c:v>0.888224382593645</c:v>
                </c:pt>
                <c:pt idx="15">
                  <c:v>0.88084101395939352</c:v>
                </c:pt>
                <c:pt idx="16">
                  <c:v>0.87351901960562528</c:v>
                </c:pt>
                <c:pt idx="17">
                  <c:v>0.86625788935839487</c:v>
                </c:pt>
                <c:pt idx="18">
                  <c:v>0.85905711728458012</c:v>
                </c:pt>
                <c:pt idx="19">
                  <c:v>0.85191620165662996</c:v>
                </c:pt>
                <c:pt idx="20">
                  <c:v>0.84483464491760507</c:v>
                </c:pt>
                <c:pt idx="21">
                  <c:v>0.83781195364651073</c:v>
                </c:pt>
                <c:pt idx="22">
                  <c:v>0.83084763852391563</c:v>
                </c:pt>
                <c:pt idx="23">
                  <c:v>0.8239412142978586</c:v>
                </c:pt>
                <c:pt idx="24">
                  <c:v>0.81709219975003688</c:v>
                </c:pt>
                <c:pt idx="25">
                  <c:v>0.81030011766227683</c:v>
                </c:pt>
                <c:pt idx="26">
                  <c:v>0.80356449478328307</c:v>
                </c:pt>
                <c:pt idx="27">
                  <c:v>0.79688486179566298</c:v>
                </c:pt>
                <c:pt idx="28">
                  <c:v>0.79026075328322687</c:v>
                </c:pt>
                <c:pt idx="29">
                  <c:v>0.78369170769855878</c:v>
                </c:pt>
                <c:pt idx="30">
                  <c:v>0.77717726733085768</c:v>
                </c:pt>
                <c:pt idx="31">
                  <c:v>0.77071697827404495</c:v>
                </c:pt>
                <c:pt idx="32">
                  <c:v>0.76431039039513848</c:v>
                </c:pt>
                <c:pt idx="33">
                  <c:v>0.75795705730288809</c:v>
                </c:pt>
                <c:pt idx="34">
                  <c:v>0.7516565363166724</c:v>
                </c:pt>
                <c:pt idx="35">
                  <c:v>0.74540838843565493</c:v>
                </c:pt>
                <c:pt idx="36">
                  <c:v>0.73921217830819486</c:v>
                </c:pt>
                <c:pt idx="37">
                  <c:v>0.73306747420151375</c:v>
                </c:pt>
                <c:pt idx="38">
                  <c:v>0.7269738479716138</c:v>
                </c:pt>
                <c:pt idx="39">
                  <c:v>0.72093087503344544</c:v>
                </c:pt>
                <c:pt idx="40">
                  <c:v>0.71493813433132425</c:v>
                </c:pt>
                <c:pt idx="41">
                  <c:v>0.70899520830959273</c:v>
                </c:pt>
                <c:pt idx="42">
                  <c:v>0.70310168288352659</c:v>
                </c:pt>
                <c:pt idx="43">
                  <c:v>0.69725714741048206</c:v>
                </c:pt>
                <c:pt idx="44">
                  <c:v>0.6914611946612842</c:v>
                </c:pt>
                <c:pt idx="45">
                  <c:v>0.68571342079185216</c:v>
                </c:pt>
                <c:pt idx="46">
                  <c:v>0.68001342531506048</c:v>
                </c:pt>
                <c:pt idx="47">
                  <c:v>0.67436081107283463</c:v>
                </c:pt>
                <c:pt idx="48">
                  <c:v>0.66875518420847802</c:v>
                </c:pt>
                <c:pt idx="49">
                  <c:v>0.66319615413922939</c:v>
                </c:pt>
                <c:pt idx="50">
                  <c:v>0.65768333352904806</c:v>
                </c:pt>
                <c:pt idx="51">
                  <c:v>0.65221633826162606</c:v>
                </c:pt>
                <c:pt idx="52">
                  <c:v>0.6467947874136234</c:v>
                </c:pt>
                <c:pt idx="53">
                  <c:v>0.64141830322812698</c:v>
                </c:pt>
                <c:pt idx="54">
                  <c:v>0.63608651108832948</c:v>
                </c:pt>
                <c:pt idx="55">
                  <c:v>0.63079903949142713</c:v>
                </c:pt>
                <c:pt idx="56">
                  <c:v>0.62555552002273485</c:v>
                </c:pt>
                <c:pt idx="57">
                  <c:v>0.62035558733001595</c:v>
                </c:pt>
                <c:pt idx="58">
                  <c:v>0.61519887909802584</c:v>
                </c:pt>
                <c:pt idx="59">
                  <c:v>0.61008503602326636</c:v>
                </c:pt>
                <c:pt idx="60">
                  <c:v>0.60501370178895153</c:v>
                </c:pt>
                <c:pt idx="61">
                  <c:v>0.59998452304017968</c:v>
                </c:pt>
                <c:pt idx="62">
                  <c:v>0.59499714935931347</c:v>
                </c:pt>
                <c:pt idx="63">
                  <c:v>0.59005123324156339</c:v>
                </c:pt>
                <c:pt idx="64">
                  <c:v>0.58514643007077471</c:v>
                </c:pt>
                <c:pt idx="65">
                  <c:v>0.58028239809541593</c:v>
                </c:pt>
                <c:pt idx="66">
                  <c:v>0.57545879840476655</c:v>
                </c:pt>
                <c:pt idx="67">
                  <c:v>0.57067529490530278</c:v>
                </c:pt>
                <c:pt idx="68">
                  <c:v>0.56593155429727937</c:v>
                </c:pt>
                <c:pt idx="69">
                  <c:v>0.56122724605150665</c:v>
                </c:pt>
                <c:pt idx="70">
                  <c:v>0.55656204238632001</c:v>
                </c:pt>
                <c:pt idx="71">
                  <c:v>0.55193561824474124</c:v>
                </c:pt>
                <c:pt idx="72">
                  <c:v>0.54734765127182972</c:v>
                </c:pt>
                <c:pt idx="73">
                  <c:v>0.54279782179222125</c:v>
                </c:pt>
              </c:numCache>
            </c:numRef>
          </c:val>
          <c:smooth val="0"/>
        </c:ser>
        <c:dLbls>
          <c:showLegendKey val="0"/>
          <c:showVal val="0"/>
          <c:showCatName val="0"/>
          <c:showSerName val="0"/>
          <c:showPercent val="0"/>
          <c:showBubbleSize val="0"/>
        </c:dLbls>
        <c:marker val="1"/>
        <c:smooth val="0"/>
        <c:axId val="117888896"/>
        <c:axId val="117890432"/>
      </c:lineChart>
      <c:catAx>
        <c:axId val="117888896"/>
        <c:scaling>
          <c:orientation val="minMax"/>
        </c:scaling>
        <c:delete val="0"/>
        <c:axPos val="b"/>
        <c:numFmt formatCode="General" sourceLinked="1"/>
        <c:majorTickMark val="out"/>
        <c:minorTickMark val="none"/>
        <c:tickLblPos val="nextTo"/>
        <c:crossAx val="117890432"/>
        <c:crosses val="autoZero"/>
        <c:auto val="1"/>
        <c:lblAlgn val="ctr"/>
        <c:lblOffset val="100"/>
        <c:noMultiLvlLbl val="0"/>
      </c:catAx>
      <c:valAx>
        <c:axId val="117890432"/>
        <c:scaling>
          <c:orientation val="minMax"/>
          <c:max val="1"/>
        </c:scaling>
        <c:delete val="0"/>
        <c:axPos val="l"/>
        <c:majorGridlines/>
        <c:numFmt formatCode="General" sourceLinked="1"/>
        <c:majorTickMark val="out"/>
        <c:minorTickMark val="none"/>
        <c:tickLblPos val="nextTo"/>
        <c:crossAx val="117888896"/>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137.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pt-PT"/>
              <a:t>Forno</a:t>
            </a:r>
            <a:r>
              <a:rPr lang="pt-PT" baseline="0"/>
              <a:t> 3 - Pré Calcinação</a:t>
            </a:r>
            <a:endParaRPr lang="pt-PT"/>
          </a:p>
        </c:rich>
      </c:tx>
      <c:overlay val="0"/>
    </c:title>
    <c:autoTitleDeleted val="0"/>
    <c:plotArea>
      <c:layout/>
      <c:lineChart>
        <c:grouping val="standard"/>
        <c:varyColors val="0"/>
        <c:ser>
          <c:idx val="1"/>
          <c:order val="0"/>
          <c:tx>
            <c:v>2011</c:v>
          </c:tx>
          <c:marker>
            <c:symbol val="none"/>
          </c:marker>
          <c:val>
            <c:numRef>
              <c:f>'Inciner 3 - Total - Exponencial'!$BC$6:$BC$79</c:f>
              <c:numCache>
                <c:formatCode>General</c:formatCode>
                <c:ptCount val="74"/>
                <c:pt idx="0">
                  <c:v>0.99721836062779279</c:v>
                </c:pt>
                <c:pt idx="1">
                  <c:v>0.98342579696807908</c:v>
                </c:pt>
                <c:pt idx="2">
                  <c:v>0.96982399876136749</c:v>
                </c:pt>
                <c:pt idx="3">
                  <c:v>0.95641032752369259</c:v>
                </c:pt>
                <c:pt idx="4">
                  <c:v>0.94318218126405728</c:v>
                </c:pt>
                <c:pt idx="5">
                  <c:v>0.93013699397969707</c:v>
                </c:pt>
                <c:pt idx="6">
                  <c:v>0.9172722351583259</c:v>
                </c:pt>
                <c:pt idx="7">
                  <c:v>0.9045854092872655</c:v>
                </c:pt>
                <c:pt idx="8">
                  <c:v>0.89207405536936502</c:v>
                </c:pt>
                <c:pt idx="9">
                  <c:v>0.87973574644561525</c:v>
                </c:pt>
                <c:pt idx="10">
                  <c:v>0.867568089124366</c:v>
                </c:pt>
                <c:pt idx="11">
                  <c:v>0.85556872311705456</c:v>
                </c:pt>
                <c:pt idx="12">
                  <c:v>0.84373532078035562</c:v>
                </c:pt>
                <c:pt idx="13">
                  <c:v>0.83206558666466413</c:v>
                </c:pt>
                <c:pt idx="14">
                  <c:v>0.82055725706882254</c:v>
                </c:pt>
                <c:pt idx="15">
                  <c:v>0.80920809960100692</c:v>
                </c:pt>
                <c:pt idx="16">
                  <c:v>0.79801591274568617</c:v>
                </c:pt>
                <c:pt idx="17">
                  <c:v>0.78697852543657143</c:v>
                </c:pt>
                <c:pt idx="18">
                  <c:v>0.77609379663547085</c:v>
                </c:pt>
                <c:pt idx="19">
                  <c:v>0.76535961491697058</c:v>
                </c:pt>
                <c:pt idx="20">
                  <c:v>0.75477389805885875</c:v>
                </c:pt>
                <c:pt idx="21">
                  <c:v>0.74433459263821511</c:v>
                </c:pt>
                <c:pt idx="22">
                  <c:v>0.73403967363308709</c:v>
                </c:pt>
                <c:pt idx="23">
                  <c:v>0.7238871440296748</c:v>
                </c:pt>
                <c:pt idx="24">
                  <c:v>0.7138750344349496</c:v>
                </c:pt>
                <c:pt idx="25">
                  <c:v>0.70400140269462974</c:v>
                </c:pt>
                <c:pt idx="26">
                  <c:v>0.69426433351644024</c:v>
                </c:pt>
                <c:pt idx="27">
                  <c:v>0.68466193809858422</c:v>
                </c:pt>
                <c:pt idx="28">
                  <c:v>0.67519235376335118</c:v>
                </c:pt>
                <c:pt idx="29">
                  <c:v>0.66585374359579441</c:v>
                </c:pt>
                <c:pt idx="30">
                  <c:v>0.65664429608740515</c:v>
                </c:pt>
                <c:pt idx="31">
                  <c:v>0.64756222478471492</c:v>
                </c:pt>
                <c:pt idx="32">
                  <c:v>0.63860576794275881</c:v>
                </c:pt>
                <c:pt idx="33">
                  <c:v>0.62977318818333095</c:v>
                </c:pt>
                <c:pt idx="34">
                  <c:v>0.62106277215796701</c:v>
                </c:pt>
                <c:pt idx="35">
                  <c:v>0.61247283021558807</c:v>
                </c:pt>
                <c:pt idx="36">
                  <c:v>0.60400169607474108</c:v>
                </c:pt>
                <c:pt idx="37">
                  <c:v>0.5956477265003729</c:v>
                </c:pt>
                <c:pt idx="38">
                  <c:v>0.58740930098507438</c:v>
                </c:pt>
                <c:pt idx="39">
                  <c:v>0.57928482143473381</c:v>
                </c:pt>
                <c:pt idx="40">
                  <c:v>0.57127271185853779</c:v>
                </c:pt>
                <c:pt idx="41">
                  <c:v>0.56337141806325919</c:v>
                </c:pt>
                <c:pt idx="42">
                  <c:v>0.5555794073517748</c:v>
                </c:pt>
                <c:pt idx="43">
                  <c:v>0.54789516822575102</c:v>
                </c:pt>
                <c:pt idx="44">
                  <c:v>0.54031721009244316</c:v>
                </c:pt>
                <c:pt idx="45">
                  <c:v>0.53284406297554965</c:v>
                </c:pt>
                <c:pt idx="46">
                  <c:v>0.52547427723006446</c:v>
                </c:pt>
                <c:pt idx="47">
                  <c:v>0.51820642326107513</c:v>
                </c:pt>
                <c:pt idx="48">
                  <c:v>0.51103909124644864</c:v>
                </c:pt>
                <c:pt idx="49">
                  <c:v>0.50397089086335345</c:v>
                </c:pt>
                <c:pt idx="50">
                  <c:v>0.4970004510185641</c:v>
                </c:pt>
                <c:pt idx="51">
                  <c:v>0.49012641958249575</c:v>
                </c:pt>
                <c:pt idx="52">
                  <c:v>0.48334746312691729</c:v>
                </c:pt>
                <c:pt idx="53">
                  <c:v>0.47666226666629236</c:v>
                </c:pt>
                <c:pt idx="54">
                  <c:v>0.47006953340269758</c:v>
                </c:pt>
                <c:pt idx="55">
                  <c:v>0.46356798447426928</c:v>
                </c:pt>
                <c:pt idx="56">
                  <c:v>0.45715635870712901</c:v>
                </c:pt>
                <c:pt idx="57">
                  <c:v>0.45083341237074037</c:v>
                </c:pt>
                <c:pt idx="58">
                  <c:v>0.44459791893664952</c:v>
                </c:pt>
                <c:pt idx="59">
                  <c:v>0.43844866884056272</c:v>
                </c:pt>
                <c:pt idx="60">
                  <c:v>0.43238446924771412</c:v>
                </c:pt>
                <c:pt idx="61">
                  <c:v>0.42640414382147923</c:v>
                </c:pt>
                <c:pt idx="62">
                  <c:v>0.42050653249518855</c:v>
                </c:pt>
                <c:pt idx="63">
                  <c:v>0.41469049124709711</c:v>
                </c:pt>
                <c:pt idx="64">
                  <c:v>0.40895489187846656</c:v>
                </c:pt>
                <c:pt idx="65">
                  <c:v>0.40329862179471665</c:v>
                </c:pt>
                <c:pt idx="66">
                  <c:v>0.39772058378960357</c:v>
                </c:pt>
                <c:pt idx="67">
                  <c:v>0.39221969583238303</c:v>
                </c:pt>
                <c:pt idx="68">
                  <c:v>0.38679489085791779</c:v>
                </c:pt>
                <c:pt idx="69">
                  <c:v>0.38144511655968755</c:v>
                </c:pt>
                <c:pt idx="70">
                  <c:v>0.37616933518566198</c:v>
                </c:pt>
                <c:pt idx="71">
                  <c:v>0.37096652333699709</c:v>
                </c:pt>
                <c:pt idx="72">
                  <c:v>0.36583567176951587</c:v>
                </c:pt>
                <c:pt idx="73">
                  <c:v>0.36077578519793424</c:v>
                </c:pt>
              </c:numCache>
            </c:numRef>
          </c:val>
          <c:smooth val="0"/>
        </c:ser>
        <c:ser>
          <c:idx val="3"/>
          <c:order val="1"/>
          <c:tx>
            <c:v>2013</c:v>
          </c:tx>
          <c:marker>
            <c:symbol val="none"/>
          </c:marker>
          <c:val>
            <c:numRef>
              <c:f>'Inciner 3 - Total - Exponencial'!$BD$6:$BD$79</c:f>
              <c:numCache>
                <c:formatCode>General</c:formatCode>
                <c:ptCount val="74"/>
                <c:pt idx="0">
                  <c:v>0.99888827137637837</c:v>
                </c:pt>
                <c:pt idx="1">
                  <c:v>0.99334813990855253</c:v>
                </c:pt>
                <c:pt idx="2">
                  <c:v>0.98783873565773428</c:v>
                </c:pt>
                <c:pt idx="3">
                  <c:v>0.98235988820163822</c:v>
                </c:pt>
                <c:pt idx="4">
                  <c:v>0.97691142806319187</c:v>
                </c:pt>
                <c:pt idx="5">
                  <c:v>0.97149318670529305</c:v>
                </c:pt>
                <c:pt idx="6">
                  <c:v>0.96610499652559645</c:v>
                </c:pt>
                <c:pt idx="7">
                  <c:v>0.96074669085132902</c:v>
                </c:pt>
                <c:pt idx="8">
                  <c:v>0.95541810393413484</c:v>
                </c:pt>
                <c:pt idx="9">
                  <c:v>0.9501190709449473</c:v>
                </c:pt>
                <c:pt idx="10">
                  <c:v>0.94484942796889104</c:v>
                </c:pt>
                <c:pt idx="11">
                  <c:v>0.9396090120002113</c:v>
                </c:pt>
                <c:pt idx="12">
                  <c:v>0.93439766093723176</c:v>
                </c:pt>
                <c:pt idx="13">
                  <c:v>0.92921521357734016</c:v>
                </c:pt>
                <c:pt idx="14">
                  <c:v>0.92406150961200195</c:v>
                </c:pt>
                <c:pt idx="15">
                  <c:v>0.91893638962180124</c:v>
                </c:pt>
                <c:pt idx="16">
                  <c:v>0.91383969507150986</c:v>
                </c:pt>
                <c:pt idx="17">
                  <c:v>0.90877126830518307</c:v>
                </c:pt>
                <c:pt idx="18">
                  <c:v>0.90373095254128277</c:v>
                </c:pt>
                <c:pt idx="19">
                  <c:v>0.89871859186782799</c:v>
                </c:pt>
                <c:pt idx="20">
                  <c:v>0.89373403123757211</c:v>
                </c:pt>
                <c:pt idx="21">
                  <c:v>0.88877711646320656</c:v>
                </c:pt>
                <c:pt idx="22">
                  <c:v>0.88384769421259135</c:v>
                </c:pt>
                <c:pt idx="23">
                  <c:v>0.87894561200401222</c:v>
                </c:pt>
                <c:pt idx="24">
                  <c:v>0.87407071820146398</c:v>
                </c:pt>
                <c:pt idx="25">
                  <c:v>0.86922286200995968</c:v>
                </c:pt>
                <c:pt idx="26">
                  <c:v>0.86440189347086627</c:v>
                </c:pt>
                <c:pt idx="27">
                  <c:v>0.85960766345726569</c:v>
                </c:pt>
                <c:pt idx="28">
                  <c:v>0.85484002366934264</c:v>
                </c:pt>
                <c:pt idx="29">
                  <c:v>0.85009882662979608</c:v>
                </c:pt>
                <c:pt idx="30">
                  <c:v>0.84538392567927823</c:v>
                </c:pt>
                <c:pt idx="31">
                  <c:v>0.84069517497185797</c:v>
                </c:pt>
                <c:pt idx="32">
                  <c:v>0.83603242947050849</c:v>
                </c:pt>
                <c:pt idx="33">
                  <c:v>0.83139554494262202</c:v>
                </c:pt>
                <c:pt idx="34">
                  <c:v>0.82678437795554738</c:v>
                </c:pt>
                <c:pt idx="35">
                  <c:v>0.82219878587215378</c:v>
                </c:pt>
                <c:pt idx="36">
                  <c:v>0.81763862684641808</c:v>
                </c:pt>
                <c:pt idx="37">
                  <c:v>0.81310375981903771</c:v>
                </c:pt>
                <c:pt idx="38">
                  <c:v>0.80859404451306671</c:v>
                </c:pt>
                <c:pt idx="39">
                  <c:v>0.80410934142957702</c:v>
                </c:pt>
                <c:pt idx="40">
                  <c:v>0.79964951184334288</c:v>
                </c:pt>
                <c:pt idx="41">
                  <c:v>0.79521441779854996</c:v>
                </c:pt>
                <c:pt idx="42">
                  <c:v>0.7908039221045281</c:v>
                </c:pt>
                <c:pt idx="43">
                  <c:v>0.78641788833150705</c:v>
                </c:pt>
                <c:pt idx="44">
                  <c:v>0.78205618080639705</c:v>
                </c:pt>
                <c:pt idx="45">
                  <c:v>0.7777186646085914</c:v>
                </c:pt>
                <c:pt idx="46">
                  <c:v>0.77340520556579317</c:v>
                </c:pt>
                <c:pt idx="47">
                  <c:v>0.76911567024986505</c:v>
                </c:pt>
                <c:pt idx="48">
                  <c:v>0.76484992597270185</c:v>
                </c:pt>
                <c:pt idx="49">
                  <c:v>0.76060784078212607</c:v>
                </c:pt>
                <c:pt idx="50">
                  <c:v>0.75638928345780621</c:v>
                </c:pt>
                <c:pt idx="51">
                  <c:v>0.75219412350719761</c:v>
                </c:pt>
                <c:pt idx="52">
                  <c:v>0.74802223116150635</c:v>
                </c:pt>
                <c:pt idx="53">
                  <c:v>0.74387347737167475</c:v>
                </c:pt>
                <c:pt idx="54">
                  <c:v>0.73974773380438941</c:v>
                </c:pt>
                <c:pt idx="55">
                  <c:v>0.73564487283811197</c:v>
                </c:pt>
                <c:pt idx="56">
                  <c:v>0.7315647675591308</c:v>
                </c:pt>
                <c:pt idx="57">
                  <c:v>0.72750729175763562</c:v>
                </c:pt>
                <c:pt idx="58">
                  <c:v>0.72347231992381322</c:v>
                </c:pt>
                <c:pt idx="59">
                  <c:v>0.71945972724396523</c:v>
                </c:pt>
                <c:pt idx="60">
                  <c:v>0.71546938959664719</c:v>
                </c:pt>
                <c:pt idx="61">
                  <c:v>0.71150118354882885</c:v>
                </c:pt>
                <c:pt idx="62">
                  <c:v>0.70755498635207659</c:v>
                </c:pt>
                <c:pt idx="63">
                  <c:v>0.70363067593875606</c:v>
                </c:pt>
                <c:pt idx="64">
                  <c:v>0.69972813091825592</c:v>
                </c:pt>
                <c:pt idx="65">
                  <c:v>0.69584723057323372</c:v>
                </c:pt>
                <c:pt idx="66">
                  <c:v>0.69198785485588121</c:v>
                </c:pt>
                <c:pt idx="67">
                  <c:v>0.68814988438421099</c:v>
                </c:pt>
                <c:pt idx="68">
                  <c:v>0.68433320043836343</c:v>
                </c:pt>
                <c:pt idx="69">
                  <c:v>0.68053768495693479</c:v>
                </c:pt>
                <c:pt idx="70">
                  <c:v>0.67676322053332494</c:v>
                </c:pt>
                <c:pt idx="71">
                  <c:v>0.67300969041210579</c:v>
                </c:pt>
                <c:pt idx="72">
                  <c:v>0.66927697848540935</c:v>
                </c:pt>
                <c:pt idx="73">
                  <c:v>0.66556496928933651</c:v>
                </c:pt>
              </c:numCache>
            </c:numRef>
          </c:val>
          <c:smooth val="0"/>
        </c:ser>
        <c:dLbls>
          <c:showLegendKey val="0"/>
          <c:showVal val="0"/>
          <c:showCatName val="0"/>
          <c:showSerName val="0"/>
          <c:showPercent val="0"/>
          <c:showBubbleSize val="0"/>
        </c:dLbls>
        <c:marker val="1"/>
        <c:smooth val="0"/>
        <c:axId val="118768000"/>
        <c:axId val="118769536"/>
      </c:lineChart>
      <c:catAx>
        <c:axId val="118768000"/>
        <c:scaling>
          <c:orientation val="minMax"/>
        </c:scaling>
        <c:delete val="0"/>
        <c:axPos val="b"/>
        <c:numFmt formatCode="General" sourceLinked="1"/>
        <c:majorTickMark val="out"/>
        <c:minorTickMark val="none"/>
        <c:tickLblPos val="nextTo"/>
        <c:crossAx val="118769536"/>
        <c:crosses val="autoZero"/>
        <c:auto val="1"/>
        <c:lblAlgn val="ctr"/>
        <c:lblOffset val="100"/>
        <c:noMultiLvlLbl val="0"/>
      </c:catAx>
      <c:valAx>
        <c:axId val="118769536"/>
        <c:scaling>
          <c:orientation val="minMax"/>
          <c:max val="1"/>
        </c:scaling>
        <c:delete val="0"/>
        <c:axPos val="l"/>
        <c:majorGridlines/>
        <c:numFmt formatCode="General" sourceLinked="1"/>
        <c:majorTickMark val="out"/>
        <c:minorTickMark val="none"/>
        <c:tickLblPos val="nextTo"/>
        <c:crossAx val="118768000"/>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138.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pt-PT"/>
              <a:t>Forno</a:t>
            </a:r>
            <a:r>
              <a:rPr lang="pt-PT" baseline="0"/>
              <a:t> 3 - Arrefecedor</a:t>
            </a:r>
            <a:endParaRPr lang="pt-PT"/>
          </a:p>
        </c:rich>
      </c:tx>
      <c:overlay val="0"/>
    </c:title>
    <c:autoTitleDeleted val="0"/>
    <c:plotArea>
      <c:layout/>
      <c:lineChart>
        <c:grouping val="standard"/>
        <c:varyColors val="0"/>
        <c:ser>
          <c:idx val="0"/>
          <c:order val="0"/>
          <c:tx>
            <c:v>2010</c:v>
          </c:tx>
          <c:marker>
            <c:symbol val="none"/>
          </c:marker>
          <c:cat>
            <c:numRef>
              <c:f>'Inciner 3 - Total - Exponencial'!$AJ$6:$AJ$79</c:f>
              <c:numCache>
                <c:formatCode>General</c:formatCode>
                <c:ptCount val="74"/>
                <c:pt idx="0">
                  <c:v>1</c:v>
                </c:pt>
                <c:pt idx="1">
                  <c:v>6</c:v>
                </c:pt>
                <c:pt idx="2">
                  <c:v>11</c:v>
                </c:pt>
                <c:pt idx="3">
                  <c:v>16</c:v>
                </c:pt>
                <c:pt idx="4">
                  <c:v>21</c:v>
                </c:pt>
                <c:pt idx="5">
                  <c:v>26</c:v>
                </c:pt>
                <c:pt idx="6">
                  <c:v>31</c:v>
                </c:pt>
                <c:pt idx="7">
                  <c:v>36</c:v>
                </c:pt>
                <c:pt idx="8">
                  <c:v>41</c:v>
                </c:pt>
                <c:pt idx="9">
                  <c:v>46</c:v>
                </c:pt>
                <c:pt idx="10">
                  <c:v>51</c:v>
                </c:pt>
                <c:pt idx="11">
                  <c:v>56</c:v>
                </c:pt>
                <c:pt idx="12">
                  <c:v>61</c:v>
                </c:pt>
                <c:pt idx="13">
                  <c:v>66</c:v>
                </c:pt>
                <c:pt idx="14">
                  <c:v>71</c:v>
                </c:pt>
                <c:pt idx="15">
                  <c:v>76</c:v>
                </c:pt>
                <c:pt idx="16">
                  <c:v>81</c:v>
                </c:pt>
                <c:pt idx="17">
                  <c:v>86</c:v>
                </c:pt>
                <c:pt idx="18">
                  <c:v>91</c:v>
                </c:pt>
                <c:pt idx="19">
                  <c:v>96</c:v>
                </c:pt>
                <c:pt idx="20">
                  <c:v>101</c:v>
                </c:pt>
                <c:pt idx="21">
                  <c:v>106</c:v>
                </c:pt>
                <c:pt idx="22">
                  <c:v>111</c:v>
                </c:pt>
                <c:pt idx="23">
                  <c:v>116</c:v>
                </c:pt>
                <c:pt idx="24">
                  <c:v>121</c:v>
                </c:pt>
                <c:pt idx="25">
                  <c:v>126</c:v>
                </c:pt>
                <c:pt idx="26">
                  <c:v>131</c:v>
                </c:pt>
                <c:pt idx="27">
                  <c:v>136</c:v>
                </c:pt>
                <c:pt idx="28">
                  <c:v>141</c:v>
                </c:pt>
                <c:pt idx="29">
                  <c:v>146</c:v>
                </c:pt>
                <c:pt idx="30">
                  <c:v>151</c:v>
                </c:pt>
                <c:pt idx="31">
                  <c:v>156</c:v>
                </c:pt>
                <c:pt idx="32">
                  <c:v>161</c:v>
                </c:pt>
                <c:pt idx="33">
                  <c:v>166</c:v>
                </c:pt>
                <c:pt idx="34">
                  <c:v>171</c:v>
                </c:pt>
                <c:pt idx="35">
                  <c:v>176</c:v>
                </c:pt>
                <c:pt idx="36">
                  <c:v>181</c:v>
                </c:pt>
                <c:pt idx="37">
                  <c:v>186</c:v>
                </c:pt>
                <c:pt idx="38">
                  <c:v>191</c:v>
                </c:pt>
                <c:pt idx="39">
                  <c:v>196</c:v>
                </c:pt>
                <c:pt idx="40">
                  <c:v>201</c:v>
                </c:pt>
                <c:pt idx="41">
                  <c:v>206</c:v>
                </c:pt>
                <c:pt idx="42">
                  <c:v>211</c:v>
                </c:pt>
                <c:pt idx="43">
                  <c:v>216</c:v>
                </c:pt>
                <c:pt idx="44">
                  <c:v>221</c:v>
                </c:pt>
                <c:pt idx="45">
                  <c:v>226</c:v>
                </c:pt>
                <c:pt idx="46">
                  <c:v>231</c:v>
                </c:pt>
                <c:pt idx="47">
                  <c:v>236</c:v>
                </c:pt>
                <c:pt idx="48">
                  <c:v>241</c:v>
                </c:pt>
                <c:pt idx="49">
                  <c:v>246</c:v>
                </c:pt>
                <c:pt idx="50">
                  <c:v>251</c:v>
                </c:pt>
                <c:pt idx="51">
                  <c:v>256</c:v>
                </c:pt>
                <c:pt idx="52">
                  <c:v>261</c:v>
                </c:pt>
                <c:pt idx="53">
                  <c:v>266</c:v>
                </c:pt>
                <c:pt idx="54">
                  <c:v>271</c:v>
                </c:pt>
                <c:pt idx="55">
                  <c:v>276</c:v>
                </c:pt>
                <c:pt idx="56">
                  <c:v>281</c:v>
                </c:pt>
                <c:pt idx="57">
                  <c:v>286</c:v>
                </c:pt>
                <c:pt idx="58">
                  <c:v>291</c:v>
                </c:pt>
                <c:pt idx="59">
                  <c:v>296</c:v>
                </c:pt>
                <c:pt idx="60">
                  <c:v>301</c:v>
                </c:pt>
                <c:pt idx="61">
                  <c:v>306</c:v>
                </c:pt>
                <c:pt idx="62">
                  <c:v>311</c:v>
                </c:pt>
                <c:pt idx="63">
                  <c:v>316</c:v>
                </c:pt>
                <c:pt idx="64">
                  <c:v>321</c:v>
                </c:pt>
                <c:pt idx="65">
                  <c:v>326</c:v>
                </c:pt>
                <c:pt idx="66">
                  <c:v>331</c:v>
                </c:pt>
                <c:pt idx="67">
                  <c:v>336</c:v>
                </c:pt>
                <c:pt idx="68">
                  <c:v>341</c:v>
                </c:pt>
                <c:pt idx="69">
                  <c:v>346</c:v>
                </c:pt>
                <c:pt idx="70">
                  <c:v>351</c:v>
                </c:pt>
                <c:pt idx="71">
                  <c:v>356</c:v>
                </c:pt>
                <c:pt idx="72">
                  <c:v>361</c:v>
                </c:pt>
                <c:pt idx="73">
                  <c:v>366</c:v>
                </c:pt>
              </c:numCache>
            </c:numRef>
          </c:cat>
          <c:val>
            <c:numRef>
              <c:f>'Inciner 3 - Total - Exponencial'!$BE$6:$BE$79</c:f>
              <c:numCache>
                <c:formatCode>General</c:formatCode>
                <c:ptCount val="74"/>
                <c:pt idx="0">
                  <c:v>0.99721836062779279</c:v>
                </c:pt>
                <c:pt idx="1">
                  <c:v>0.98342579696807908</c:v>
                </c:pt>
                <c:pt idx="2">
                  <c:v>0.96982399876136749</c:v>
                </c:pt>
                <c:pt idx="3">
                  <c:v>0.95641032752369259</c:v>
                </c:pt>
                <c:pt idx="4">
                  <c:v>0.94318218126405728</c:v>
                </c:pt>
                <c:pt idx="5">
                  <c:v>0.93013699397969707</c:v>
                </c:pt>
                <c:pt idx="6">
                  <c:v>0.9172722351583259</c:v>
                </c:pt>
                <c:pt idx="7">
                  <c:v>0.9045854092872655</c:v>
                </c:pt>
                <c:pt idx="8">
                  <c:v>0.89207405536936502</c:v>
                </c:pt>
                <c:pt idx="9">
                  <c:v>0.87973574644561525</c:v>
                </c:pt>
                <c:pt idx="10">
                  <c:v>0.867568089124366</c:v>
                </c:pt>
                <c:pt idx="11">
                  <c:v>0.85556872311705456</c:v>
                </c:pt>
                <c:pt idx="12">
                  <c:v>0.84373532078035562</c:v>
                </c:pt>
                <c:pt idx="13">
                  <c:v>0.83206558666466413</c:v>
                </c:pt>
                <c:pt idx="14">
                  <c:v>0.82055725706882254</c:v>
                </c:pt>
                <c:pt idx="15">
                  <c:v>0.80920809960100692</c:v>
                </c:pt>
                <c:pt idx="16">
                  <c:v>0.79801591274568617</c:v>
                </c:pt>
                <c:pt idx="17">
                  <c:v>0.78697852543657143</c:v>
                </c:pt>
                <c:pt idx="18">
                  <c:v>0.77609379663547085</c:v>
                </c:pt>
                <c:pt idx="19">
                  <c:v>0.76535961491697058</c:v>
                </c:pt>
                <c:pt idx="20">
                  <c:v>0.75477389805885875</c:v>
                </c:pt>
                <c:pt idx="21">
                  <c:v>0.74433459263821511</c:v>
                </c:pt>
                <c:pt idx="22">
                  <c:v>0.73403967363308709</c:v>
                </c:pt>
                <c:pt idx="23">
                  <c:v>0.7238871440296748</c:v>
                </c:pt>
                <c:pt idx="24">
                  <c:v>0.7138750344349496</c:v>
                </c:pt>
                <c:pt idx="25">
                  <c:v>0.70400140269462974</c:v>
                </c:pt>
                <c:pt idx="26">
                  <c:v>0.69426433351644024</c:v>
                </c:pt>
                <c:pt idx="27">
                  <c:v>0.68466193809858422</c:v>
                </c:pt>
                <c:pt idx="28">
                  <c:v>0.67519235376335118</c:v>
                </c:pt>
                <c:pt idx="29">
                  <c:v>0.66585374359579441</c:v>
                </c:pt>
                <c:pt idx="30">
                  <c:v>0.65664429608740515</c:v>
                </c:pt>
                <c:pt idx="31">
                  <c:v>0.64756222478471492</c:v>
                </c:pt>
                <c:pt idx="32">
                  <c:v>0.63860576794275881</c:v>
                </c:pt>
                <c:pt idx="33">
                  <c:v>0.62977318818333095</c:v>
                </c:pt>
                <c:pt idx="34">
                  <c:v>0.62106277215796701</c:v>
                </c:pt>
                <c:pt idx="35">
                  <c:v>0.61247283021558807</c:v>
                </c:pt>
                <c:pt idx="36">
                  <c:v>0.60400169607474108</c:v>
                </c:pt>
                <c:pt idx="37">
                  <c:v>0.5956477265003729</c:v>
                </c:pt>
                <c:pt idx="38">
                  <c:v>0.58740930098507438</c:v>
                </c:pt>
                <c:pt idx="39">
                  <c:v>0.57928482143473381</c:v>
                </c:pt>
                <c:pt idx="40">
                  <c:v>0.57127271185853779</c:v>
                </c:pt>
                <c:pt idx="41">
                  <c:v>0.56337141806325919</c:v>
                </c:pt>
                <c:pt idx="42">
                  <c:v>0.5555794073517748</c:v>
                </c:pt>
                <c:pt idx="43">
                  <c:v>0.54789516822575102</c:v>
                </c:pt>
                <c:pt idx="44">
                  <c:v>0.54031721009244316</c:v>
                </c:pt>
                <c:pt idx="45">
                  <c:v>0.53284406297554965</c:v>
                </c:pt>
                <c:pt idx="46">
                  <c:v>0.52547427723006446</c:v>
                </c:pt>
                <c:pt idx="47">
                  <c:v>0.51820642326107513</c:v>
                </c:pt>
                <c:pt idx="48">
                  <c:v>0.51103909124644864</c:v>
                </c:pt>
                <c:pt idx="49">
                  <c:v>0.50397089086335345</c:v>
                </c:pt>
                <c:pt idx="50">
                  <c:v>0.4970004510185641</c:v>
                </c:pt>
                <c:pt idx="51">
                  <c:v>0.49012641958249575</c:v>
                </c:pt>
                <c:pt idx="52">
                  <c:v>0.48334746312691729</c:v>
                </c:pt>
                <c:pt idx="53">
                  <c:v>0.47666226666629236</c:v>
                </c:pt>
                <c:pt idx="54">
                  <c:v>0.47006953340269758</c:v>
                </c:pt>
                <c:pt idx="55">
                  <c:v>0.46356798447426928</c:v>
                </c:pt>
                <c:pt idx="56">
                  <c:v>0.45715635870712901</c:v>
                </c:pt>
                <c:pt idx="57">
                  <c:v>0.45083341237074037</c:v>
                </c:pt>
                <c:pt idx="58">
                  <c:v>0.44459791893664952</c:v>
                </c:pt>
                <c:pt idx="59">
                  <c:v>0.43844866884056272</c:v>
                </c:pt>
                <c:pt idx="60">
                  <c:v>0.43238446924771412</c:v>
                </c:pt>
                <c:pt idx="61">
                  <c:v>0.42640414382147923</c:v>
                </c:pt>
                <c:pt idx="62">
                  <c:v>0.42050653249518855</c:v>
                </c:pt>
                <c:pt idx="63">
                  <c:v>0.41469049124709711</c:v>
                </c:pt>
                <c:pt idx="64">
                  <c:v>0.40895489187846656</c:v>
                </c:pt>
                <c:pt idx="65">
                  <c:v>0.40329862179471665</c:v>
                </c:pt>
                <c:pt idx="66">
                  <c:v>0.39772058378960357</c:v>
                </c:pt>
                <c:pt idx="67">
                  <c:v>0.39221969583238303</c:v>
                </c:pt>
                <c:pt idx="68">
                  <c:v>0.38679489085791779</c:v>
                </c:pt>
                <c:pt idx="69">
                  <c:v>0.38144511655968755</c:v>
                </c:pt>
                <c:pt idx="70">
                  <c:v>0.37616933518566198</c:v>
                </c:pt>
                <c:pt idx="71">
                  <c:v>0.37096652333699709</c:v>
                </c:pt>
                <c:pt idx="72">
                  <c:v>0.36583567176951587</c:v>
                </c:pt>
                <c:pt idx="73">
                  <c:v>0.36077578519793424</c:v>
                </c:pt>
              </c:numCache>
            </c:numRef>
          </c:val>
          <c:smooth val="0"/>
        </c:ser>
        <c:ser>
          <c:idx val="2"/>
          <c:order val="1"/>
          <c:tx>
            <c:v>2012</c:v>
          </c:tx>
          <c:marker>
            <c:symbol val="none"/>
          </c:marker>
          <c:val>
            <c:numRef>
              <c:f>'Inciner 3 - Total - Exponencial'!$BF$6:$BF$79</c:f>
              <c:numCache>
                <c:formatCode>General</c:formatCode>
                <c:ptCount val="74"/>
                <c:pt idx="0">
                  <c:v>0.99721060153222096</c:v>
                </c:pt>
                <c:pt idx="1">
                  <c:v>0.98337988718569636</c:v>
                </c:pt>
                <c:pt idx="2">
                  <c:v>0.96974099657133139</c:v>
                </c:pt>
                <c:pt idx="3">
                  <c:v>0.95629126920874186</c:v>
                </c:pt>
                <c:pt idx="4">
                  <c:v>0.9430280815168145</c:v>
                </c:pt>
                <c:pt idx="5">
                  <c:v>0.92994884630193619</c:v>
                </c:pt>
                <c:pt idx="6">
                  <c:v>0.91705101225332097</c:v>
                </c:pt>
                <c:pt idx="7">
                  <c:v>0.90433206344533723</c:v>
                </c:pt>
                <c:pt idx="8">
                  <c:v>0.89178951884673618</c:v>
                </c:pt>
                <c:pt idx="9">
                  <c:v>0.8794209318366879</c:v>
                </c:pt>
                <c:pt idx="10">
                  <c:v>0.8672238897275294</c:v>
                </c:pt>
                <c:pt idx="11">
                  <c:v>0.85519601329413197</c:v>
                </c:pt>
                <c:pt idx="12">
                  <c:v>0.84333495630979571</c:v>
                </c:pt>
                <c:pt idx="13">
                  <c:v>0.83163840508858133</c:v>
                </c:pt>
                <c:pt idx="14">
                  <c:v>0.82010407803398888</c:v>
                </c:pt>
                <c:pt idx="15">
                  <c:v>0.80872972519389663</c:v>
                </c:pt>
                <c:pt idx="16">
                  <c:v>0.79751312782167261</c:v>
                </c:pt>
                <c:pt idx="17">
                  <c:v>0.78645209794337312</c:v>
                </c:pt>
                <c:pt idx="18">
                  <c:v>0.7755444779309435</c:v>
                </c:pt>
                <c:pt idx="19">
                  <c:v>0.76478814008133933</c:v>
                </c:pt>
                <c:pt idx="20">
                  <c:v>0.75418098620148455</c:v>
                </c:pt>
                <c:pt idx="21">
                  <c:v>0.74372094719898496</c:v>
                </c:pt>
                <c:pt idx="22">
                  <c:v>0.73340598267852053</c:v>
                </c:pt>
                <c:pt idx="23">
                  <c:v>0.72323408054383276</c:v>
                </c:pt>
                <c:pt idx="24">
                  <c:v>0.71320325660523476</c:v>
                </c:pt>
                <c:pt idx="25">
                  <c:v>0.70331155419256297</c:v>
                </c:pt>
                <c:pt idx="26">
                  <c:v>0.69355704377349836</c:v>
                </c:pt>
                <c:pt idx="27">
                  <c:v>0.68393782257718083</c:v>
                </c:pt>
                <c:pt idx="28">
                  <c:v>0.67445201422304302</c:v>
                </c:pt>
                <c:pt idx="29">
                  <c:v>0.66509776835479384</c:v>
                </c:pt>
                <c:pt idx="30">
                  <c:v>0.65587326027947634</c:v>
                </c:pt>
                <c:pt idx="31">
                  <c:v>0.6467766906115332</c:v>
                </c:pt>
                <c:pt idx="32">
                  <c:v>0.63780628492180824</c:v>
                </c:pt>
                <c:pt idx="33">
                  <c:v>0.62896029339141579</c:v>
                </c:pt>
                <c:pt idx="34">
                  <c:v>0.62023699047041092</c:v>
                </c:pt>
                <c:pt idx="35">
                  <c:v>0.61163467454119413</c:v>
                </c:pt>
                <c:pt idx="36">
                  <c:v>0.60315166758658401</c:v>
                </c:pt>
                <c:pt idx="37">
                  <c:v>0.59478631486249289</c:v>
                </c:pt>
                <c:pt idx="38">
                  <c:v>0.58653698457514403</c:v>
                </c:pt>
                <c:pt idx="39">
                  <c:v>0.57840206756276336</c:v>
                </c:pt>
                <c:pt idx="40">
                  <c:v>0.5703799769816883</c:v>
                </c:pt>
                <c:pt idx="41">
                  <c:v>0.56246914799682801</c:v>
                </c:pt>
                <c:pt idx="42">
                  <c:v>0.55466803747641813</c:v>
                </c:pt>
                <c:pt idx="43">
                  <c:v>0.54697512369100854</c:v>
                </c:pt>
                <c:pt idx="44">
                  <c:v>0.53938890601662604</c:v>
                </c:pt>
                <c:pt idx="45">
                  <c:v>0.53190790464205395</c:v>
                </c:pt>
                <c:pt idx="46">
                  <c:v>0.52453066028017181</c:v>
                </c:pt>
                <c:pt idx="47">
                  <c:v>0.51725573388329815</c:v>
                </c:pt>
                <c:pt idx="48">
                  <c:v>0.51008170636248185</c:v>
                </c:pt>
                <c:pt idx="49">
                  <c:v>0.50300717831068653</c:v>
                </c:pt>
                <c:pt idx="50">
                  <c:v>0.49603076972981397</c:v>
                </c:pt>
                <c:pt idx="51">
                  <c:v>0.48915111976151371</c:v>
                </c:pt>
                <c:pt idx="52">
                  <c:v>0.48236688642172648</c:v>
                </c:pt>
                <c:pt idx="53">
                  <c:v>0.47567674633890877</c:v>
                </c:pt>
                <c:pt idx="54">
                  <c:v>0.46907939449588876</c:v>
                </c:pt>
                <c:pt idx="55">
                  <c:v>0.46257354397530159</c:v>
                </c:pt>
                <c:pt idx="56">
                  <c:v>0.45615792570855657</c:v>
                </c:pt>
                <c:pt idx="57">
                  <c:v>0.44983128822828461</c:v>
                </c:pt>
                <c:pt idx="58">
                  <c:v>0.44359239742422052</c:v>
                </c:pt>
                <c:pt idx="59">
                  <c:v>0.43744003630246986</c:v>
                </c:pt>
                <c:pt idx="60">
                  <c:v>0.4313730047481153</c:v>
                </c:pt>
                <c:pt idx="61">
                  <c:v>0.42539011929111542</c:v>
                </c:pt>
                <c:pt idx="62">
                  <c:v>0.41949021287545002</c:v>
                </c:pt>
                <c:pt idx="63">
                  <c:v>0.41367213463146768</c:v>
                </c:pt>
                <c:pt idx="64">
                  <c:v>0.40793474965139026</c:v>
                </c:pt>
                <c:pt idx="65">
                  <c:v>0.40227693876793158</c:v>
                </c:pt>
                <c:pt idx="66">
                  <c:v>0.39669759833598578</c:v>
                </c:pt>
                <c:pt idx="67">
                  <c:v>0.39119564001734458</c:v>
                </c:pt>
                <c:pt idx="68">
                  <c:v>0.38576999056839922</c:v>
                </c:pt>
                <c:pt idx="69">
                  <c:v>0.38041959163078759</c:v>
                </c:pt>
                <c:pt idx="70">
                  <c:v>0.3751433995249448</c:v>
                </c:pt>
                <c:pt idx="71">
                  <c:v>0.36994038504651716</c:v>
                </c:pt>
                <c:pt idx="72">
                  <c:v>0.36480953326559934</c:v>
                </c:pt>
                <c:pt idx="73">
                  <c:v>0.35974984332875659</c:v>
                </c:pt>
              </c:numCache>
            </c:numRef>
          </c:val>
          <c:smooth val="0"/>
        </c:ser>
        <c:ser>
          <c:idx val="3"/>
          <c:order val="2"/>
          <c:tx>
            <c:v>2013</c:v>
          </c:tx>
          <c:marker>
            <c:symbol val="none"/>
          </c:marker>
          <c:val>
            <c:numRef>
              <c:f>'Inciner 3 - Total - Exponencial'!$BG$6:$BG$79</c:f>
              <c:numCache>
                <c:formatCode>General</c:formatCode>
                <c:ptCount val="74"/>
                <c:pt idx="0">
                  <c:v>0.99944429009488278</c:v>
                </c:pt>
                <c:pt idx="1">
                  <c:v>0.99667036934099229</c:v>
                </c:pt>
                <c:pt idx="2">
                  <c:v>0.99390414750181377</c:v>
                </c:pt>
                <c:pt idx="3">
                  <c:v>0.99114560320929357</c:v>
                </c:pt>
                <c:pt idx="4">
                  <c:v>0.98839471515468424</c:v>
                </c:pt>
                <c:pt idx="5">
                  <c:v>0.98565146208837973</c:v>
                </c:pt>
                <c:pt idx="6">
                  <c:v>0.98291582281975187</c:v>
                </c:pt>
                <c:pt idx="7">
                  <c:v>0.98018777621698594</c:v>
                </c:pt>
                <c:pt idx="8">
                  <c:v>0.97746730120691816</c:v>
                </c:pt>
                <c:pt idx="9">
                  <c:v>0.9747543767748722</c:v>
                </c:pt>
                <c:pt idx="10">
                  <c:v>0.9720489819644974</c:v>
                </c:pt>
                <c:pt idx="11">
                  <c:v>0.96935109587760659</c:v>
                </c:pt>
                <c:pt idx="12">
                  <c:v>0.96666069767401475</c:v>
                </c:pt>
                <c:pt idx="13">
                  <c:v>0.96397776657137801</c:v>
                </c:pt>
                <c:pt idx="14">
                  <c:v>0.96130228184503319</c:v>
                </c:pt>
                <c:pt idx="15">
                  <c:v>0.95863422282783761</c:v>
                </c:pt>
                <c:pt idx="16">
                  <c:v>0.95597356891000962</c:v>
                </c:pt>
                <c:pt idx="17">
                  <c:v>0.95332029953896891</c:v>
                </c:pt>
                <c:pt idx="18">
                  <c:v>0.95067439421917843</c:v>
                </c:pt>
                <c:pt idx="19">
                  <c:v>0.94803583251198564</c:v>
                </c:pt>
                <c:pt idx="20">
                  <c:v>0.94540459403546462</c:v>
                </c:pt>
                <c:pt idx="21">
                  <c:v>0.94278065846425885</c:v>
                </c:pt>
                <c:pt idx="22">
                  <c:v>0.94016400552942414</c:v>
                </c:pt>
                <c:pt idx="23">
                  <c:v>0.93755461501827186</c:v>
                </c:pt>
                <c:pt idx="24">
                  <c:v>0.93495246677421306</c:v>
                </c:pt>
                <c:pt idx="25">
                  <c:v>0.93235754069660259</c:v>
                </c:pt>
                <c:pt idx="26">
                  <c:v>0.9297698167405839</c:v>
                </c:pt>
                <c:pt idx="27">
                  <c:v>0.92718927491693426</c:v>
                </c:pt>
                <c:pt idx="28">
                  <c:v>0.92461589529191013</c:v>
                </c:pt>
                <c:pt idx="29">
                  <c:v>0.92204965798709371</c:v>
                </c:pt>
                <c:pt idx="30">
                  <c:v>0.91949054317923862</c:v>
                </c:pt>
                <c:pt idx="31">
                  <c:v>0.91693853110011736</c:v>
                </c:pt>
                <c:pt idx="32">
                  <c:v>0.91439360203636821</c:v>
                </c:pt>
                <c:pt idx="33">
                  <c:v>0.91185573632934358</c:v>
                </c:pt>
                <c:pt idx="34">
                  <c:v>0.90932491437495744</c:v>
                </c:pt>
                <c:pt idx="35">
                  <c:v>0.90680111662353402</c:v>
                </c:pt>
                <c:pt idx="36">
                  <c:v>0.90428432357965727</c:v>
                </c:pt>
                <c:pt idx="37">
                  <c:v>0.90177451580201984</c:v>
                </c:pt>
                <c:pt idx="38">
                  <c:v>0.89927167390327301</c:v>
                </c:pt>
                <c:pt idx="39">
                  <c:v>0.89677577854987678</c:v>
                </c:pt>
                <c:pt idx="40">
                  <c:v>0.89428681046195102</c:v>
                </c:pt>
                <c:pt idx="41">
                  <c:v>0.89180475041312579</c:v>
                </c:pt>
                <c:pt idx="42">
                  <c:v>0.88932957923039357</c:v>
                </c:pt>
                <c:pt idx="43">
                  <c:v>0.88686127779396062</c:v>
                </c:pt>
                <c:pt idx="44">
                  <c:v>0.88439982703709952</c:v>
                </c:pt>
                <c:pt idx="45">
                  <c:v>0.88194520794600195</c:v>
                </c:pt>
                <c:pt idx="46">
                  <c:v>0.87949740155963152</c:v>
                </c:pt>
                <c:pt idx="47">
                  <c:v>0.87705638896957772</c:v>
                </c:pt>
                <c:pt idx="48">
                  <c:v>0.87462215131990939</c:v>
                </c:pt>
                <c:pt idx="49">
                  <c:v>0.87219466980702953</c:v>
                </c:pt>
                <c:pt idx="50">
                  <c:v>0.86977392567952971</c:v>
                </c:pt>
                <c:pt idx="51">
                  <c:v>0.86735990023804532</c:v>
                </c:pt>
                <c:pt idx="52">
                  <c:v>0.86495257483511145</c:v>
                </c:pt>
                <c:pt idx="53">
                  <c:v>0.86255193087501791</c:v>
                </c:pt>
                <c:pt idx="54">
                  <c:v>0.860157949813667</c:v>
                </c:pt>
                <c:pt idx="55">
                  <c:v>0.85777061315842873</c:v>
                </c:pt>
                <c:pt idx="56">
                  <c:v>0.85538990246799929</c:v>
                </c:pt>
                <c:pt idx="57">
                  <c:v>0.85301579935225769</c:v>
                </c:pt>
                <c:pt idx="58">
                  <c:v>0.85064828547212434</c:v>
                </c:pt>
                <c:pt idx="59">
                  <c:v>0.84828734253941862</c:v>
                </c:pt>
                <c:pt idx="60">
                  <c:v>0.84593295231671872</c:v>
                </c:pt>
                <c:pt idx="61">
                  <c:v>0.84358509661721948</c:v>
                </c:pt>
                <c:pt idx="62">
                  <c:v>0.841243757304593</c:v>
                </c:pt>
                <c:pt idx="63">
                  <c:v>0.83890891629284781</c:v>
                </c:pt>
                <c:pt idx="64">
                  <c:v>0.83658055554618971</c:v>
                </c:pt>
                <c:pt idx="65">
                  <c:v>0.83425865707888192</c:v>
                </c:pt>
                <c:pt idx="66">
                  <c:v>0.83194320295510649</c:v>
                </c:pt>
                <c:pt idx="67">
                  <c:v>0.82963417528882588</c:v>
                </c:pt>
                <c:pt idx="68">
                  <c:v>0.82733155624364418</c:v>
                </c:pt>
                <c:pt idx="69">
                  <c:v>0.82503532803267021</c:v>
                </c:pt>
                <c:pt idx="70">
                  <c:v>0.82274547291837918</c:v>
                </c:pt>
                <c:pt idx="71">
                  <c:v>0.82046197321247649</c:v>
                </c:pt>
                <c:pt idx="72">
                  <c:v>0.8181848112757607</c:v>
                </c:pt>
                <c:pt idx="73">
                  <c:v>0.81591396951798711</c:v>
                </c:pt>
              </c:numCache>
            </c:numRef>
          </c:val>
          <c:smooth val="0"/>
        </c:ser>
        <c:dLbls>
          <c:showLegendKey val="0"/>
          <c:showVal val="0"/>
          <c:showCatName val="0"/>
          <c:showSerName val="0"/>
          <c:showPercent val="0"/>
          <c:showBubbleSize val="0"/>
        </c:dLbls>
        <c:marker val="1"/>
        <c:smooth val="0"/>
        <c:axId val="118799744"/>
        <c:axId val="120460416"/>
      </c:lineChart>
      <c:catAx>
        <c:axId val="118799744"/>
        <c:scaling>
          <c:orientation val="minMax"/>
        </c:scaling>
        <c:delete val="0"/>
        <c:axPos val="b"/>
        <c:numFmt formatCode="General" sourceLinked="1"/>
        <c:majorTickMark val="out"/>
        <c:minorTickMark val="none"/>
        <c:tickLblPos val="nextTo"/>
        <c:crossAx val="120460416"/>
        <c:crosses val="autoZero"/>
        <c:auto val="1"/>
        <c:lblAlgn val="ctr"/>
        <c:lblOffset val="100"/>
        <c:noMultiLvlLbl val="0"/>
      </c:catAx>
      <c:valAx>
        <c:axId val="120460416"/>
        <c:scaling>
          <c:orientation val="minMax"/>
          <c:max val="1"/>
        </c:scaling>
        <c:delete val="0"/>
        <c:axPos val="l"/>
        <c:majorGridlines/>
        <c:numFmt formatCode="General" sourceLinked="1"/>
        <c:majorTickMark val="out"/>
        <c:minorTickMark val="none"/>
        <c:tickLblPos val="nextTo"/>
        <c:crossAx val="118799744"/>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139.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marker>
            <c:symbol val="none"/>
          </c:marker>
          <c:cat>
            <c:numRef>
              <c:f>'Incinerador 3 - Total - Weibull'!$X$13:$X$44</c:f>
              <c:numCache>
                <c:formatCode>General</c:formatCode>
                <c:ptCount val="32"/>
                <c:pt idx="0">
                  <c:v>0</c:v>
                </c:pt>
                <c:pt idx="1">
                  <c:v>10</c:v>
                </c:pt>
                <c:pt idx="2">
                  <c:v>20</c:v>
                </c:pt>
                <c:pt idx="3">
                  <c:v>30</c:v>
                </c:pt>
                <c:pt idx="4">
                  <c:v>40</c:v>
                </c:pt>
                <c:pt idx="5">
                  <c:v>50</c:v>
                </c:pt>
                <c:pt idx="6">
                  <c:v>60</c:v>
                </c:pt>
                <c:pt idx="7">
                  <c:v>70</c:v>
                </c:pt>
                <c:pt idx="8">
                  <c:v>80</c:v>
                </c:pt>
                <c:pt idx="9">
                  <c:v>90</c:v>
                </c:pt>
                <c:pt idx="10">
                  <c:v>100</c:v>
                </c:pt>
                <c:pt idx="11">
                  <c:v>110</c:v>
                </c:pt>
                <c:pt idx="12">
                  <c:v>120</c:v>
                </c:pt>
                <c:pt idx="13">
                  <c:v>130</c:v>
                </c:pt>
                <c:pt idx="14">
                  <c:v>140</c:v>
                </c:pt>
                <c:pt idx="15">
                  <c:v>150</c:v>
                </c:pt>
                <c:pt idx="16">
                  <c:v>160</c:v>
                </c:pt>
                <c:pt idx="17">
                  <c:v>170</c:v>
                </c:pt>
                <c:pt idx="18">
                  <c:v>180</c:v>
                </c:pt>
                <c:pt idx="19">
                  <c:v>190</c:v>
                </c:pt>
                <c:pt idx="20">
                  <c:v>200</c:v>
                </c:pt>
                <c:pt idx="21">
                  <c:v>210</c:v>
                </c:pt>
                <c:pt idx="22">
                  <c:v>220</c:v>
                </c:pt>
                <c:pt idx="23">
                  <c:v>230</c:v>
                </c:pt>
                <c:pt idx="24">
                  <c:v>240</c:v>
                </c:pt>
                <c:pt idx="25">
                  <c:v>250</c:v>
                </c:pt>
                <c:pt idx="26">
                  <c:v>260</c:v>
                </c:pt>
                <c:pt idx="27">
                  <c:v>270</c:v>
                </c:pt>
                <c:pt idx="28">
                  <c:v>280</c:v>
                </c:pt>
                <c:pt idx="29">
                  <c:v>290</c:v>
                </c:pt>
                <c:pt idx="30">
                  <c:v>300</c:v>
                </c:pt>
                <c:pt idx="31">
                  <c:v>310</c:v>
                </c:pt>
              </c:numCache>
            </c:numRef>
          </c:cat>
          <c:val>
            <c:numRef>
              <c:f>'Incinerador 3 - Total - Weibull'!$Y$13:$Y$44</c:f>
              <c:numCache>
                <c:formatCode>General</c:formatCode>
                <c:ptCount val="32"/>
                <c:pt idx="0">
                  <c:v>1</c:v>
                </c:pt>
                <c:pt idx="1">
                  <c:v>0.95092839570173326</c:v>
                </c:pt>
                <c:pt idx="2">
                  <c:v>0.87584523994633634</c:v>
                </c:pt>
                <c:pt idx="3">
                  <c:v>0.7916507392829053</c:v>
                </c:pt>
                <c:pt idx="4">
                  <c:v>0.70520744392564294</c:v>
                </c:pt>
                <c:pt idx="5">
                  <c:v>0.62059037087076807</c:v>
                </c:pt>
                <c:pt idx="6">
                  <c:v>0.54034691475363861</c:v>
                </c:pt>
                <c:pt idx="7">
                  <c:v>0.46602000007175443</c:v>
                </c:pt>
                <c:pt idx="8">
                  <c:v>0.39844619876366172</c:v>
                </c:pt>
                <c:pt idx="9">
                  <c:v>0.33795630201282162</c:v>
                </c:pt>
                <c:pt idx="10">
                  <c:v>0.28452207283494813</c:v>
                </c:pt>
                <c:pt idx="11">
                  <c:v>0.23786770188492753</c:v>
                </c:pt>
                <c:pt idx="12">
                  <c:v>0.19755539058349444</c:v>
                </c:pt>
                <c:pt idx="13">
                  <c:v>0.16305076304160926</c:v>
                </c:pt>
                <c:pt idx="14">
                  <c:v>0.13377210419885413</c:v>
                </c:pt>
                <c:pt idx="15">
                  <c:v>0.10912653115816336</c:v>
                </c:pt>
                <c:pt idx="16">
                  <c:v>8.8535656440497656E-2</c:v>
                </c:pt>
                <c:pt idx="17">
                  <c:v>7.1452902957048217E-2</c:v>
                </c:pt>
                <c:pt idx="18">
                  <c:v>5.7374301797381566E-2</c:v>
                </c:pt>
                <c:pt idx="19">
                  <c:v>4.5844314555358236E-2</c:v>
                </c:pt>
                <c:pt idx="20">
                  <c:v>3.6457961323358469E-2</c:v>
                </c:pt>
                <c:pt idx="21">
                  <c:v>2.8860301205819977E-2</c:v>
                </c:pt>
                <c:pt idx="22">
                  <c:v>2.2744104343955927E-2</c:v>
                </c:pt>
                <c:pt idx="23">
                  <c:v>1.784637334799509E-2</c:v>
                </c:pt>
                <c:pt idx="24">
                  <c:v>1.3944217403798701E-2</c:v>
                </c:pt>
                <c:pt idx="25">
                  <c:v>1.0850453028481238E-2</c:v>
                </c:pt>
                <c:pt idx="26">
                  <c:v>8.4091996432636273E-3</c:v>
                </c:pt>
                <c:pt idx="27">
                  <c:v>6.4916534528799523E-3</c:v>
                </c:pt>
                <c:pt idx="28">
                  <c:v>4.9921569334888801E-3</c:v>
                </c:pt>
                <c:pt idx="29">
                  <c:v>3.8246308218687786E-3</c:v>
                </c:pt>
                <c:pt idx="30">
                  <c:v>2.9193982323760404E-3</c:v>
                </c:pt>
                <c:pt idx="31">
                  <c:v>2.2204039561656086E-3</c:v>
                </c:pt>
              </c:numCache>
            </c:numRef>
          </c:val>
          <c:smooth val="0"/>
        </c:ser>
        <c:dLbls>
          <c:showLegendKey val="0"/>
          <c:showVal val="0"/>
          <c:showCatName val="0"/>
          <c:showSerName val="0"/>
          <c:showPercent val="0"/>
          <c:showBubbleSize val="0"/>
        </c:dLbls>
        <c:marker val="1"/>
        <c:smooth val="0"/>
        <c:axId val="120514432"/>
        <c:axId val="120515968"/>
      </c:lineChart>
      <c:catAx>
        <c:axId val="120514432"/>
        <c:scaling>
          <c:orientation val="minMax"/>
        </c:scaling>
        <c:delete val="0"/>
        <c:axPos val="b"/>
        <c:numFmt formatCode="General" sourceLinked="1"/>
        <c:majorTickMark val="out"/>
        <c:minorTickMark val="none"/>
        <c:tickLblPos val="nextTo"/>
        <c:crossAx val="120515968"/>
        <c:crosses val="autoZero"/>
        <c:auto val="1"/>
        <c:lblAlgn val="ctr"/>
        <c:lblOffset val="100"/>
        <c:noMultiLvlLbl val="0"/>
      </c:catAx>
      <c:valAx>
        <c:axId val="120515968"/>
        <c:scaling>
          <c:orientation val="minMax"/>
        </c:scaling>
        <c:delete val="0"/>
        <c:axPos val="l"/>
        <c:majorGridlines/>
        <c:numFmt formatCode="General" sourceLinked="1"/>
        <c:majorTickMark val="out"/>
        <c:minorTickMark val="none"/>
        <c:tickLblPos val="nextTo"/>
        <c:crossAx val="120514432"/>
        <c:crosses val="autoZero"/>
        <c:crossBetween val="between"/>
      </c:valAx>
    </c:plotArea>
    <c:plotVisOnly val="1"/>
    <c:dispBlanksAs val="gap"/>
    <c:showDLblsOverMax val="0"/>
  </c:chart>
  <c:printSettings>
    <c:headerFooter/>
    <c:pageMargins b="0.75" l="0.7" r="0.7" t="0.75" header="0.3" footer="0.3"/>
    <c:pageSetup/>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42"/>
    </mc:Choice>
    <mc:Fallback>
      <c:style val="42"/>
    </mc:Fallback>
  </mc:AlternateContent>
  <c:chart>
    <c:title>
      <c:tx>
        <c:rich>
          <a:bodyPr/>
          <a:lstStyle/>
          <a:p>
            <a:pPr>
              <a:defRPr/>
            </a:pPr>
            <a:r>
              <a:rPr lang="en-US"/>
              <a:t>Urb. - Encosta dos cedros</a:t>
            </a:r>
          </a:p>
        </c:rich>
      </c:tx>
      <c:layout/>
      <c:overlay val="0"/>
    </c:title>
    <c:autoTitleDeleted val="0"/>
    <c:plotArea>
      <c:layout>
        <c:manualLayout>
          <c:layoutTarget val="inner"/>
          <c:xMode val="edge"/>
          <c:yMode val="edge"/>
          <c:x val="2.4691358024691357E-2"/>
          <c:y val="0.32444484748597435"/>
          <c:w val="0.95286195286195285"/>
          <c:h val="0.55961308824621336"/>
        </c:manualLayout>
      </c:layout>
      <c:barChart>
        <c:barDir val="bar"/>
        <c:grouping val="stacked"/>
        <c:varyColors val="0"/>
        <c:ser>
          <c:idx val="0"/>
          <c:order val="0"/>
          <c:invertIfNegative val="0"/>
          <c:dLbls>
            <c:showLegendKey val="0"/>
            <c:showVal val="1"/>
            <c:showCatName val="0"/>
            <c:showSerName val="0"/>
            <c:showPercent val="0"/>
            <c:showBubbleSize val="0"/>
            <c:showLeaderLines val="0"/>
          </c:dLbls>
          <c:val>
            <c:numRef>
              <c:f>'2015 - Ciclo de Operação'!$B$30</c:f>
              <c:numCache>
                <c:formatCode>General</c:formatCode>
                <c:ptCount val="1"/>
                <c:pt idx="0">
                  <c:v>2976</c:v>
                </c:pt>
              </c:numCache>
            </c:numRef>
          </c:val>
        </c:ser>
        <c:ser>
          <c:idx val="1"/>
          <c:order val="1"/>
          <c:invertIfNegative val="0"/>
          <c:dLbls>
            <c:dLbl>
              <c:idx val="0"/>
              <c:layout>
                <c:manualLayout>
                  <c:x val="0"/>
                  <c:y val="-0.16045850099150966"/>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'2015 - Ciclo de Operação'!$I$30</c:f>
              <c:numCache>
                <c:formatCode>General</c:formatCode>
                <c:ptCount val="1"/>
                <c:pt idx="0">
                  <c:v>6</c:v>
                </c:pt>
              </c:numCache>
            </c:numRef>
          </c:val>
        </c:ser>
        <c:ser>
          <c:idx val="2"/>
          <c:order val="2"/>
          <c:invertIfNegative val="0"/>
          <c:dLbls>
            <c:showLegendKey val="0"/>
            <c:showVal val="1"/>
            <c:showCatName val="0"/>
            <c:showSerName val="0"/>
            <c:showPercent val="0"/>
            <c:showBubbleSize val="0"/>
            <c:showLeaderLines val="0"/>
          </c:dLbls>
          <c:val>
            <c:numRef>
              <c:f>'2015 - Ciclo de Operação'!$B$31</c:f>
              <c:numCache>
                <c:formatCode>General</c:formatCode>
                <c:ptCount val="1"/>
                <c:pt idx="0">
                  <c:v>5664</c:v>
                </c:pt>
              </c:numCache>
            </c:numRef>
          </c:val>
        </c:ser>
        <c:dLbls>
          <c:showLegendKey val="0"/>
          <c:showVal val="0"/>
          <c:showCatName val="0"/>
          <c:showSerName val="0"/>
          <c:showPercent val="0"/>
          <c:showBubbleSize val="0"/>
        </c:dLbls>
        <c:gapWidth val="150"/>
        <c:overlap val="100"/>
        <c:axId val="109141376"/>
        <c:axId val="109159552"/>
      </c:barChart>
      <c:catAx>
        <c:axId val="109141376"/>
        <c:scaling>
          <c:orientation val="minMax"/>
        </c:scaling>
        <c:delete val="1"/>
        <c:axPos val="l"/>
        <c:majorTickMark val="out"/>
        <c:minorTickMark val="none"/>
        <c:tickLblPos val="nextTo"/>
        <c:crossAx val="109159552"/>
        <c:crosses val="autoZero"/>
        <c:auto val="1"/>
        <c:lblAlgn val="ctr"/>
        <c:lblOffset val="100"/>
        <c:noMultiLvlLbl val="0"/>
      </c:catAx>
      <c:valAx>
        <c:axId val="109159552"/>
        <c:scaling>
          <c:orientation val="minMax"/>
        </c:scaling>
        <c:delete val="1"/>
        <c:axPos val="b"/>
        <c:numFmt formatCode="General" sourceLinked="1"/>
        <c:majorTickMark val="out"/>
        <c:minorTickMark val="none"/>
        <c:tickLblPos val="nextTo"/>
        <c:crossAx val="109141376"/>
        <c:crosses val="autoZero"/>
        <c:crossBetween val="between"/>
      </c:valAx>
      <c:spPr>
        <a:noFill/>
        <a:ln w="25400">
          <a:noFill/>
        </a:ln>
      </c:spPr>
    </c:plotArea>
    <c:plotVisOnly val="1"/>
    <c:dispBlanksAs val="gap"/>
    <c:showDLblsOverMax val="0"/>
  </c:chart>
  <c:printSettings>
    <c:headerFooter/>
    <c:pageMargins b="0.75" l="0.7" r="0.7" t="0.75" header="0.3" footer="0.3"/>
    <c:pageSetup/>
  </c:printSettings>
  <c:userShapes r:id="rId1"/>
</c:chartSpace>
</file>

<file path=xl/charts/chart140.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marker>
            <c:symbol val="none"/>
          </c:marker>
          <c:cat>
            <c:numRef>
              <c:f>'Incinerador 3 - Total - Weibull'!$BD$7:$BD$40</c:f>
              <c:numCache>
                <c:formatCode>General</c:formatCode>
                <c:ptCount val="34"/>
                <c:pt idx="0">
                  <c:v>0</c:v>
                </c:pt>
                <c:pt idx="1">
                  <c:v>10</c:v>
                </c:pt>
                <c:pt idx="2">
                  <c:v>20</c:v>
                </c:pt>
                <c:pt idx="3">
                  <c:v>30</c:v>
                </c:pt>
                <c:pt idx="4">
                  <c:v>40</c:v>
                </c:pt>
                <c:pt idx="5">
                  <c:v>50</c:v>
                </c:pt>
                <c:pt idx="6">
                  <c:v>60</c:v>
                </c:pt>
                <c:pt idx="7">
                  <c:v>70</c:v>
                </c:pt>
                <c:pt idx="8">
                  <c:v>80</c:v>
                </c:pt>
                <c:pt idx="9">
                  <c:v>90</c:v>
                </c:pt>
                <c:pt idx="10">
                  <c:v>100</c:v>
                </c:pt>
                <c:pt idx="11">
                  <c:v>110</c:v>
                </c:pt>
                <c:pt idx="12">
                  <c:v>120</c:v>
                </c:pt>
                <c:pt idx="13">
                  <c:v>130</c:v>
                </c:pt>
                <c:pt idx="14">
                  <c:v>140</c:v>
                </c:pt>
                <c:pt idx="15">
                  <c:v>150</c:v>
                </c:pt>
                <c:pt idx="16">
                  <c:v>160</c:v>
                </c:pt>
                <c:pt idx="17">
                  <c:v>170</c:v>
                </c:pt>
                <c:pt idx="18">
                  <c:v>180</c:v>
                </c:pt>
                <c:pt idx="19">
                  <c:v>190</c:v>
                </c:pt>
                <c:pt idx="20">
                  <c:v>200</c:v>
                </c:pt>
                <c:pt idx="21">
                  <c:v>210</c:v>
                </c:pt>
                <c:pt idx="22">
                  <c:v>220</c:v>
                </c:pt>
                <c:pt idx="23">
                  <c:v>230</c:v>
                </c:pt>
                <c:pt idx="24">
                  <c:v>240</c:v>
                </c:pt>
                <c:pt idx="25">
                  <c:v>250</c:v>
                </c:pt>
                <c:pt idx="26">
                  <c:v>260</c:v>
                </c:pt>
                <c:pt idx="27">
                  <c:v>270</c:v>
                </c:pt>
                <c:pt idx="28">
                  <c:v>280</c:v>
                </c:pt>
                <c:pt idx="29">
                  <c:v>290</c:v>
                </c:pt>
                <c:pt idx="30">
                  <c:v>300</c:v>
                </c:pt>
                <c:pt idx="31">
                  <c:v>310</c:v>
                </c:pt>
                <c:pt idx="32">
                  <c:v>320</c:v>
                </c:pt>
                <c:pt idx="33">
                  <c:v>330</c:v>
                </c:pt>
              </c:numCache>
            </c:numRef>
          </c:cat>
          <c:val>
            <c:numRef>
              <c:f>'Incinerador 3 - Total - Weibull'!$BE$7:$BE$40</c:f>
              <c:numCache>
                <c:formatCode>General</c:formatCode>
                <c:ptCount val="34"/>
                <c:pt idx="0">
                  <c:v>1</c:v>
                </c:pt>
                <c:pt idx="1">
                  <c:v>0.93678766660233304</c:v>
                </c:pt>
                <c:pt idx="2">
                  <c:v>0.87082890416547309</c:v>
                </c:pt>
                <c:pt idx="3">
                  <c:v>0.80690761924889232</c:v>
                </c:pt>
                <c:pt idx="4">
                  <c:v>0.74605539006928845</c:v>
                </c:pt>
                <c:pt idx="5">
                  <c:v>0.68865057660318607</c:v>
                </c:pt>
                <c:pt idx="6">
                  <c:v>0.63480814653964035</c:v>
                </c:pt>
                <c:pt idx="7">
                  <c:v>0.58451098524296863</c:v>
                </c:pt>
                <c:pt idx="8">
                  <c:v>0.5376689991051341</c:v>
                </c:pt>
                <c:pt idx="9">
                  <c:v>0.49415027214625135</c:v>
                </c:pt>
                <c:pt idx="10">
                  <c:v>0.45379917835656719</c:v>
                </c:pt>
                <c:pt idx="11">
                  <c:v>0.41644760074190407</c:v>
                </c:pt>
                <c:pt idx="12">
                  <c:v>0.38192217174143206</c:v>
                </c:pt>
                <c:pt idx="13">
                  <c:v>0.35004906303271438</c:v>
                </c:pt>
                <c:pt idx="14">
                  <c:v>0.32065719030816248</c:v>
                </c:pt>
                <c:pt idx="15">
                  <c:v>0.29358035427166784</c:v>
                </c:pt>
                <c:pt idx="16">
                  <c:v>0.26865864756692237</c:v>
                </c:pt>
                <c:pt idx="17">
                  <c:v>0.24573934470190612</c:v>
                </c:pt>
                <c:pt idx="18">
                  <c:v>0.2246774226239287</c:v>
                </c:pt>
                <c:pt idx="19">
                  <c:v>0.20533581511009658</c:v>
                </c:pt>
                <c:pt idx="20">
                  <c:v>0.18758547464528447</c:v>
                </c:pt>
                <c:pt idx="21">
                  <c:v>0.17130529533554986</c:v>
                </c:pt>
                <c:pt idx="22">
                  <c:v>0.15638193632819333</c:v>
                </c:pt>
                <c:pt idx="23">
                  <c:v>0.14270957515062613</c:v>
                </c:pt>
                <c:pt idx="24">
                  <c:v>0.13018961305936361</c:v>
                </c:pt>
                <c:pt idx="25">
                  <c:v>0.11873034907851433</c:v>
                </c:pt>
                <c:pt idx="26">
                  <c:v>0.10824663535298999</c:v>
                </c:pt>
                <c:pt idx="27">
                  <c:v>9.8659523370744295E-2</c:v>
                </c:pt>
                <c:pt idx="28">
                  <c:v>8.9895908260792953E-2</c:v>
                </c:pt>
                <c:pt idx="29">
                  <c:v>8.1888176565909701E-2</c:v>
                </c:pt>
                <c:pt idx="30">
                  <c:v>7.4573861488705526E-2</c:v>
                </c:pt>
                <c:pt idx="31">
                  <c:v>6.7895308520909678E-2</c:v>
                </c:pt>
                <c:pt idx="32">
                  <c:v>6.1799353516736523E-2</c:v>
                </c:pt>
                <c:pt idx="33">
                  <c:v>5.6237014608754778E-2</c:v>
                </c:pt>
              </c:numCache>
            </c:numRef>
          </c:val>
          <c:smooth val="0"/>
        </c:ser>
        <c:dLbls>
          <c:showLegendKey val="0"/>
          <c:showVal val="0"/>
          <c:showCatName val="0"/>
          <c:showSerName val="0"/>
          <c:showPercent val="0"/>
          <c:showBubbleSize val="0"/>
        </c:dLbls>
        <c:marker val="1"/>
        <c:smooth val="0"/>
        <c:axId val="120224768"/>
        <c:axId val="120226560"/>
      </c:lineChart>
      <c:catAx>
        <c:axId val="120224768"/>
        <c:scaling>
          <c:orientation val="minMax"/>
        </c:scaling>
        <c:delete val="0"/>
        <c:axPos val="b"/>
        <c:numFmt formatCode="General" sourceLinked="1"/>
        <c:majorTickMark val="out"/>
        <c:minorTickMark val="none"/>
        <c:tickLblPos val="nextTo"/>
        <c:crossAx val="120226560"/>
        <c:crosses val="autoZero"/>
        <c:auto val="1"/>
        <c:lblAlgn val="ctr"/>
        <c:lblOffset val="100"/>
        <c:noMultiLvlLbl val="0"/>
      </c:catAx>
      <c:valAx>
        <c:axId val="120226560"/>
        <c:scaling>
          <c:orientation val="minMax"/>
        </c:scaling>
        <c:delete val="0"/>
        <c:axPos val="l"/>
        <c:majorGridlines/>
        <c:numFmt formatCode="General" sourceLinked="1"/>
        <c:majorTickMark val="out"/>
        <c:minorTickMark val="none"/>
        <c:tickLblPos val="nextTo"/>
        <c:crossAx val="120224768"/>
        <c:crosses val="autoZero"/>
        <c:crossBetween val="between"/>
      </c:valAx>
    </c:plotArea>
    <c:plotVisOnly val="1"/>
    <c:dispBlanksAs val="gap"/>
    <c:showDLblsOverMax val="0"/>
  </c:chart>
  <c:printSettings>
    <c:headerFooter/>
    <c:pageMargins b="0.75" l="0.7" r="0.7" t="0.75" header="0.3" footer="0.3"/>
    <c:pageSetup/>
  </c:printSettings>
  <c:userShapes r:id="rId1"/>
</c:chartSpace>
</file>

<file path=xl/charts/chart141.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marker>
            <c:symbol val="none"/>
          </c:marker>
          <c:cat>
            <c:numRef>
              <c:f>'Incinerador 3 - Total - Weibull'!$CF$7:$CF$38</c:f>
              <c:numCache>
                <c:formatCode>General</c:formatCode>
                <c:ptCount val="32"/>
                <c:pt idx="0">
                  <c:v>0</c:v>
                </c:pt>
                <c:pt idx="1">
                  <c:v>10</c:v>
                </c:pt>
                <c:pt idx="2">
                  <c:v>20</c:v>
                </c:pt>
                <c:pt idx="3">
                  <c:v>30</c:v>
                </c:pt>
                <c:pt idx="4">
                  <c:v>40</c:v>
                </c:pt>
                <c:pt idx="5">
                  <c:v>50</c:v>
                </c:pt>
                <c:pt idx="6">
                  <c:v>60</c:v>
                </c:pt>
                <c:pt idx="7">
                  <c:v>70</c:v>
                </c:pt>
                <c:pt idx="8">
                  <c:v>80</c:v>
                </c:pt>
                <c:pt idx="9">
                  <c:v>90</c:v>
                </c:pt>
                <c:pt idx="10">
                  <c:v>100</c:v>
                </c:pt>
                <c:pt idx="11">
                  <c:v>110</c:v>
                </c:pt>
                <c:pt idx="12">
                  <c:v>120</c:v>
                </c:pt>
                <c:pt idx="13">
                  <c:v>130</c:v>
                </c:pt>
                <c:pt idx="14">
                  <c:v>140</c:v>
                </c:pt>
                <c:pt idx="15">
                  <c:v>150</c:v>
                </c:pt>
                <c:pt idx="16">
                  <c:v>160</c:v>
                </c:pt>
                <c:pt idx="17">
                  <c:v>170</c:v>
                </c:pt>
                <c:pt idx="18">
                  <c:v>180</c:v>
                </c:pt>
                <c:pt idx="19">
                  <c:v>190</c:v>
                </c:pt>
                <c:pt idx="20">
                  <c:v>200</c:v>
                </c:pt>
                <c:pt idx="21">
                  <c:v>210</c:v>
                </c:pt>
                <c:pt idx="22">
                  <c:v>220</c:v>
                </c:pt>
                <c:pt idx="23">
                  <c:v>230</c:v>
                </c:pt>
                <c:pt idx="24">
                  <c:v>240</c:v>
                </c:pt>
                <c:pt idx="25">
                  <c:v>250</c:v>
                </c:pt>
                <c:pt idx="26">
                  <c:v>260</c:v>
                </c:pt>
                <c:pt idx="27">
                  <c:v>270</c:v>
                </c:pt>
                <c:pt idx="28">
                  <c:v>280</c:v>
                </c:pt>
                <c:pt idx="29">
                  <c:v>290</c:v>
                </c:pt>
                <c:pt idx="30">
                  <c:v>300</c:v>
                </c:pt>
                <c:pt idx="31">
                  <c:v>310</c:v>
                </c:pt>
              </c:numCache>
            </c:numRef>
          </c:cat>
          <c:val>
            <c:numRef>
              <c:f>'Incinerador 3 - Total - Weibull'!$CG$7:$CG$38</c:f>
              <c:numCache>
                <c:formatCode>General</c:formatCode>
                <c:ptCount val="32"/>
                <c:pt idx="0">
                  <c:v>1</c:v>
                </c:pt>
                <c:pt idx="1">
                  <c:v>0.96483487456636241</c:v>
                </c:pt>
                <c:pt idx="2">
                  <c:v>0.90703378618128405</c:v>
                </c:pt>
                <c:pt idx="3">
                  <c:v>0.83910428141782467</c:v>
                </c:pt>
                <c:pt idx="4">
                  <c:v>0.76646815894239495</c:v>
                </c:pt>
                <c:pt idx="5">
                  <c:v>0.69260670998269913</c:v>
                </c:pt>
                <c:pt idx="6">
                  <c:v>0.61993308320479945</c:v>
                </c:pt>
                <c:pt idx="7">
                  <c:v>0.55013412450130783</c:v>
                </c:pt>
                <c:pt idx="8">
                  <c:v>0.4843565568202769</c:v>
                </c:pt>
                <c:pt idx="9">
                  <c:v>0.42333075560609257</c:v>
                </c:pt>
                <c:pt idx="10">
                  <c:v>0.36746331161032098</c:v>
                </c:pt>
                <c:pt idx="11">
                  <c:v>0.31691073480222309</c:v>
                </c:pt>
                <c:pt idx="12">
                  <c:v>0.27163984755634557</c:v>
                </c:pt>
                <c:pt idx="13">
                  <c:v>0.23147769805616411</c:v>
                </c:pt>
                <c:pt idx="14">
                  <c:v>0.19615268032769878</c:v>
                </c:pt>
                <c:pt idx="15">
                  <c:v>0.16532805294490885</c:v>
                </c:pt>
                <c:pt idx="16">
                  <c:v>0.13862882987838346</c:v>
                </c:pt>
                <c:pt idx="17">
                  <c:v>0.11566291217186198</c:v>
                </c:pt>
                <c:pt idx="18">
                  <c:v>9.6037266014867465E-2</c:v>
                </c:pt>
                <c:pt idx="19">
                  <c:v>7.9369899815813508E-2</c:v>
                </c:pt>
                <c:pt idx="20">
                  <c:v>6.5298337603633239E-2</c:v>
                </c:pt>
                <c:pt idx="21">
                  <c:v>5.3485225044843966E-2</c:v>
                </c:pt>
                <c:pt idx="22">
                  <c:v>4.3621638203338392E-2</c:v>
                </c:pt>
                <c:pt idx="23">
                  <c:v>3.5428596162622707E-2</c:v>
                </c:pt>
                <c:pt idx="24">
                  <c:v>2.8657209420100936E-2</c:v>
                </c:pt>
                <c:pt idx="25">
                  <c:v>2.3087828963585685E-2</c:v>
                </c:pt>
                <c:pt idx="26">
                  <c:v>1.852849807184629E-2</c:v>
                </c:pt>
                <c:pt idx="27">
                  <c:v>1.4812951498072838E-2</c:v>
                </c:pt>
                <c:pt idx="28">
                  <c:v>1.1798355612214467E-2</c:v>
                </c:pt>
                <c:pt idx="29">
                  <c:v>9.3629386445683079E-3</c:v>
                </c:pt>
                <c:pt idx="30">
                  <c:v>7.4036223660119468E-3</c:v>
                </c:pt>
                <c:pt idx="31">
                  <c:v>5.8337350598952117E-3</c:v>
                </c:pt>
              </c:numCache>
            </c:numRef>
          </c:val>
          <c:smooth val="0"/>
        </c:ser>
        <c:dLbls>
          <c:showLegendKey val="0"/>
          <c:showVal val="0"/>
          <c:showCatName val="0"/>
          <c:showSerName val="0"/>
          <c:showPercent val="0"/>
          <c:showBubbleSize val="0"/>
        </c:dLbls>
        <c:marker val="1"/>
        <c:smooth val="0"/>
        <c:axId val="120246656"/>
        <c:axId val="120248192"/>
      </c:lineChart>
      <c:catAx>
        <c:axId val="120246656"/>
        <c:scaling>
          <c:orientation val="minMax"/>
        </c:scaling>
        <c:delete val="0"/>
        <c:axPos val="b"/>
        <c:numFmt formatCode="General" sourceLinked="1"/>
        <c:majorTickMark val="out"/>
        <c:minorTickMark val="none"/>
        <c:tickLblPos val="nextTo"/>
        <c:crossAx val="120248192"/>
        <c:crosses val="autoZero"/>
        <c:auto val="1"/>
        <c:lblAlgn val="ctr"/>
        <c:lblOffset val="100"/>
        <c:noMultiLvlLbl val="0"/>
      </c:catAx>
      <c:valAx>
        <c:axId val="120248192"/>
        <c:scaling>
          <c:orientation val="minMax"/>
        </c:scaling>
        <c:delete val="0"/>
        <c:axPos val="l"/>
        <c:majorGridlines/>
        <c:numFmt formatCode="General" sourceLinked="1"/>
        <c:majorTickMark val="out"/>
        <c:minorTickMark val="none"/>
        <c:tickLblPos val="nextTo"/>
        <c:crossAx val="120246656"/>
        <c:crosses val="autoZero"/>
        <c:crossBetween val="between"/>
      </c:valAx>
    </c:plotArea>
    <c:plotVisOnly val="1"/>
    <c:dispBlanksAs val="gap"/>
    <c:showDLblsOverMax val="0"/>
  </c:chart>
  <c:printSettings>
    <c:headerFooter/>
    <c:pageMargins b="0.75" l="0.7" r="0.7" t="0.75" header="0.3" footer="0.3"/>
    <c:pageSetup/>
  </c:printSettings>
  <c:userShapes r:id="rId1"/>
</c:chartSpace>
</file>

<file path=xl/charts/chart142.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marker>
            <c:symbol val="none"/>
          </c:marker>
          <c:cat>
            <c:numRef>
              <c:f>'Incinerador 3 - Total - Weibull'!$DL$7:$DL$38</c:f>
              <c:numCache>
                <c:formatCode>General</c:formatCode>
                <c:ptCount val="32"/>
                <c:pt idx="0">
                  <c:v>0</c:v>
                </c:pt>
                <c:pt idx="1">
                  <c:v>10</c:v>
                </c:pt>
                <c:pt idx="2">
                  <c:v>20</c:v>
                </c:pt>
                <c:pt idx="3">
                  <c:v>30</c:v>
                </c:pt>
                <c:pt idx="4">
                  <c:v>40</c:v>
                </c:pt>
                <c:pt idx="5">
                  <c:v>50</c:v>
                </c:pt>
                <c:pt idx="6">
                  <c:v>60</c:v>
                </c:pt>
                <c:pt idx="7">
                  <c:v>70</c:v>
                </c:pt>
                <c:pt idx="8">
                  <c:v>80</c:v>
                </c:pt>
                <c:pt idx="9">
                  <c:v>90</c:v>
                </c:pt>
                <c:pt idx="10">
                  <c:v>100</c:v>
                </c:pt>
                <c:pt idx="11">
                  <c:v>110</c:v>
                </c:pt>
                <c:pt idx="12">
                  <c:v>120</c:v>
                </c:pt>
                <c:pt idx="13">
                  <c:v>130</c:v>
                </c:pt>
                <c:pt idx="14">
                  <c:v>140</c:v>
                </c:pt>
                <c:pt idx="15">
                  <c:v>150</c:v>
                </c:pt>
                <c:pt idx="16">
                  <c:v>160</c:v>
                </c:pt>
                <c:pt idx="17">
                  <c:v>170</c:v>
                </c:pt>
                <c:pt idx="18">
                  <c:v>180</c:v>
                </c:pt>
                <c:pt idx="19">
                  <c:v>190</c:v>
                </c:pt>
                <c:pt idx="20">
                  <c:v>200</c:v>
                </c:pt>
                <c:pt idx="21">
                  <c:v>210</c:v>
                </c:pt>
                <c:pt idx="22">
                  <c:v>220</c:v>
                </c:pt>
                <c:pt idx="23">
                  <c:v>230</c:v>
                </c:pt>
                <c:pt idx="24">
                  <c:v>240</c:v>
                </c:pt>
                <c:pt idx="25">
                  <c:v>250</c:v>
                </c:pt>
                <c:pt idx="26">
                  <c:v>260</c:v>
                </c:pt>
                <c:pt idx="27">
                  <c:v>270</c:v>
                </c:pt>
                <c:pt idx="28">
                  <c:v>280</c:v>
                </c:pt>
                <c:pt idx="29">
                  <c:v>290</c:v>
                </c:pt>
                <c:pt idx="30">
                  <c:v>300</c:v>
                </c:pt>
                <c:pt idx="31">
                  <c:v>310</c:v>
                </c:pt>
              </c:numCache>
            </c:numRef>
          </c:cat>
          <c:val>
            <c:numRef>
              <c:f>'Incinerador 3 - Total - Weibull'!$DM$7:$DM$38</c:f>
              <c:numCache>
                <c:formatCode>General</c:formatCode>
                <c:ptCount val="32"/>
                <c:pt idx="0">
                  <c:v>1</c:v>
                </c:pt>
                <c:pt idx="1">
                  <c:v>0.96483487456636241</c:v>
                </c:pt>
                <c:pt idx="2">
                  <c:v>0.90703378618128405</c:v>
                </c:pt>
                <c:pt idx="3">
                  <c:v>0.83910428141782467</c:v>
                </c:pt>
                <c:pt idx="4">
                  <c:v>0.76646815894239495</c:v>
                </c:pt>
                <c:pt idx="5">
                  <c:v>0.69260670998269913</c:v>
                </c:pt>
                <c:pt idx="6">
                  <c:v>0.61993308320479945</c:v>
                </c:pt>
                <c:pt idx="7">
                  <c:v>0.55013412450130783</c:v>
                </c:pt>
                <c:pt idx="8">
                  <c:v>0.4843565568202769</c:v>
                </c:pt>
                <c:pt idx="9">
                  <c:v>0.42333075560609257</c:v>
                </c:pt>
                <c:pt idx="10">
                  <c:v>0.36746331161032098</c:v>
                </c:pt>
                <c:pt idx="11">
                  <c:v>0.31691073480222309</c:v>
                </c:pt>
                <c:pt idx="12">
                  <c:v>0.27163984755634557</c:v>
                </c:pt>
                <c:pt idx="13">
                  <c:v>0.23147769805616411</c:v>
                </c:pt>
                <c:pt idx="14">
                  <c:v>0.19615268032769878</c:v>
                </c:pt>
                <c:pt idx="15">
                  <c:v>0.16532805294490885</c:v>
                </c:pt>
                <c:pt idx="16">
                  <c:v>0.13862882987838346</c:v>
                </c:pt>
                <c:pt idx="17">
                  <c:v>0.11566291217186198</c:v>
                </c:pt>
                <c:pt idx="18">
                  <c:v>9.6037266014867465E-2</c:v>
                </c:pt>
                <c:pt idx="19">
                  <c:v>7.9369899815813508E-2</c:v>
                </c:pt>
                <c:pt idx="20">
                  <c:v>6.5298337603633239E-2</c:v>
                </c:pt>
                <c:pt idx="21">
                  <c:v>5.3485225044843966E-2</c:v>
                </c:pt>
                <c:pt idx="22">
                  <c:v>4.3621638203338392E-2</c:v>
                </c:pt>
                <c:pt idx="23">
                  <c:v>3.5428596162622707E-2</c:v>
                </c:pt>
                <c:pt idx="24">
                  <c:v>2.8657209420100936E-2</c:v>
                </c:pt>
                <c:pt idx="25">
                  <c:v>2.3087828963585685E-2</c:v>
                </c:pt>
                <c:pt idx="26">
                  <c:v>1.852849807184629E-2</c:v>
                </c:pt>
                <c:pt idx="27">
                  <c:v>1.4812951498072838E-2</c:v>
                </c:pt>
                <c:pt idx="28">
                  <c:v>1.1798355612214467E-2</c:v>
                </c:pt>
                <c:pt idx="29">
                  <c:v>9.3629386445683079E-3</c:v>
                </c:pt>
                <c:pt idx="30">
                  <c:v>7.4036223660119468E-3</c:v>
                </c:pt>
                <c:pt idx="31">
                  <c:v>5.8337350598952117E-3</c:v>
                </c:pt>
              </c:numCache>
            </c:numRef>
          </c:val>
          <c:smooth val="0"/>
        </c:ser>
        <c:dLbls>
          <c:showLegendKey val="0"/>
          <c:showVal val="0"/>
          <c:showCatName val="0"/>
          <c:showSerName val="0"/>
          <c:showPercent val="0"/>
          <c:showBubbleSize val="0"/>
        </c:dLbls>
        <c:marker val="1"/>
        <c:smooth val="0"/>
        <c:axId val="120342016"/>
        <c:axId val="120343552"/>
      </c:lineChart>
      <c:catAx>
        <c:axId val="120342016"/>
        <c:scaling>
          <c:orientation val="minMax"/>
        </c:scaling>
        <c:delete val="0"/>
        <c:axPos val="b"/>
        <c:numFmt formatCode="General" sourceLinked="1"/>
        <c:majorTickMark val="out"/>
        <c:minorTickMark val="none"/>
        <c:tickLblPos val="nextTo"/>
        <c:crossAx val="120343552"/>
        <c:crosses val="autoZero"/>
        <c:auto val="1"/>
        <c:lblAlgn val="ctr"/>
        <c:lblOffset val="100"/>
        <c:noMultiLvlLbl val="0"/>
      </c:catAx>
      <c:valAx>
        <c:axId val="120343552"/>
        <c:scaling>
          <c:orientation val="minMax"/>
        </c:scaling>
        <c:delete val="0"/>
        <c:axPos val="l"/>
        <c:majorGridlines/>
        <c:numFmt formatCode="General" sourceLinked="1"/>
        <c:majorTickMark val="out"/>
        <c:minorTickMark val="none"/>
        <c:tickLblPos val="nextTo"/>
        <c:crossAx val="120342016"/>
        <c:crosses val="autoZero"/>
        <c:crossBetween val="between"/>
      </c:valAx>
    </c:plotArea>
    <c:plotVisOnly val="1"/>
    <c:dispBlanksAs val="gap"/>
    <c:showDLblsOverMax val="0"/>
  </c:chart>
  <c:printSettings>
    <c:headerFooter/>
    <c:pageMargins b="0.75" l="0.7" r="0.7" t="0.75" header="0.3" footer="0.3"/>
    <c:pageSetup/>
  </c:printSettings>
  <c:userShapes r:id="rId1"/>
</c:chartSpace>
</file>

<file path=xl/charts/chart143.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pt-PT"/>
              <a:t>Forno</a:t>
            </a:r>
            <a:r>
              <a:rPr lang="pt-PT" baseline="0"/>
              <a:t> 3 - Chaminé</a:t>
            </a:r>
            <a:endParaRPr lang="pt-PT"/>
          </a:p>
        </c:rich>
      </c:tx>
      <c:layout>
        <c:manualLayout>
          <c:xMode val="edge"/>
          <c:yMode val="edge"/>
          <c:x val="0.35169153201175962"/>
          <c:y val="2.5288192471685188E-2"/>
        </c:manualLayout>
      </c:layout>
      <c:overlay val="0"/>
    </c:title>
    <c:autoTitleDeleted val="0"/>
    <c:plotArea>
      <c:layout/>
      <c:lineChart>
        <c:grouping val="standard"/>
        <c:varyColors val="0"/>
        <c:ser>
          <c:idx val="0"/>
          <c:order val="0"/>
          <c:marker>
            <c:symbol val="none"/>
          </c:marker>
          <c:cat>
            <c:numRef>
              <c:f>'Incinera 3 - Familias - Weibull'!$Q$7:$Q$29</c:f>
              <c:numCache>
                <c:formatCode>General</c:formatCode>
                <c:ptCount val="23"/>
                <c:pt idx="0">
                  <c:v>1</c:v>
                </c:pt>
                <c:pt idx="1">
                  <c:v>1</c:v>
                </c:pt>
                <c:pt idx="2">
                  <c:v>4</c:v>
                </c:pt>
                <c:pt idx="3">
                  <c:v>4</c:v>
                </c:pt>
                <c:pt idx="4">
                  <c:v>9</c:v>
                </c:pt>
                <c:pt idx="5">
                  <c:v>11</c:v>
                </c:pt>
                <c:pt idx="6">
                  <c:v>15</c:v>
                </c:pt>
                <c:pt idx="7">
                  <c:v>16</c:v>
                </c:pt>
                <c:pt idx="8">
                  <c:v>19</c:v>
                </c:pt>
                <c:pt idx="9">
                  <c:v>35</c:v>
                </c:pt>
                <c:pt idx="10">
                  <c:v>43</c:v>
                </c:pt>
                <c:pt idx="11">
                  <c:v>52</c:v>
                </c:pt>
                <c:pt idx="12">
                  <c:v>86</c:v>
                </c:pt>
                <c:pt idx="13">
                  <c:v>111</c:v>
                </c:pt>
                <c:pt idx="14">
                  <c:v>114</c:v>
                </c:pt>
                <c:pt idx="15">
                  <c:v>117</c:v>
                </c:pt>
                <c:pt idx="16">
                  <c:v>124</c:v>
                </c:pt>
                <c:pt idx="17">
                  <c:v>127</c:v>
                </c:pt>
                <c:pt idx="18">
                  <c:v>172</c:v>
                </c:pt>
                <c:pt idx="19">
                  <c:v>174</c:v>
                </c:pt>
                <c:pt idx="20">
                  <c:v>240</c:v>
                </c:pt>
                <c:pt idx="21">
                  <c:v>302</c:v>
                </c:pt>
                <c:pt idx="22">
                  <c:v>322</c:v>
                </c:pt>
              </c:numCache>
            </c:numRef>
          </c:cat>
          <c:val>
            <c:numRef>
              <c:f>'Incinera 3 - Familias - Weibull'!$S$7:$S$29</c:f>
              <c:numCache>
                <c:formatCode>0,000,000</c:formatCode>
                <c:ptCount val="23"/>
                <c:pt idx="0">
                  <c:v>0.9731182795698925</c:v>
                </c:pt>
                <c:pt idx="1">
                  <c:v>0.93010752688172038</c:v>
                </c:pt>
                <c:pt idx="2">
                  <c:v>0.88709677419354838</c:v>
                </c:pt>
                <c:pt idx="3">
                  <c:v>0.84408602150537637</c:v>
                </c:pt>
                <c:pt idx="4">
                  <c:v>0.80107526881720426</c:v>
                </c:pt>
                <c:pt idx="5">
                  <c:v>0.75806451612903225</c:v>
                </c:pt>
                <c:pt idx="6">
                  <c:v>0.71505376344086025</c:v>
                </c:pt>
                <c:pt idx="7">
                  <c:v>0.67204301075268813</c:v>
                </c:pt>
                <c:pt idx="8">
                  <c:v>0.62903225806451613</c:v>
                </c:pt>
                <c:pt idx="9">
                  <c:v>0.58602150537634412</c:v>
                </c:pt>
                <c:pt idx="10">
                  <c:v>0.543010752688172</c:v>
                </c:pt>
                <c:pt idx="11">
                  <c:v>0.5</c:v>
                </c:pt>
                <c:pt idx="12">
                  <c:v>0.45698924731182794</c:v>
                </c:pt>
                <c:pt idx="13">
                  <c:v>0.41397849462365593</c:v>
                </c:pt>
                <c:pt idx="14">
                  <c:v>0.37096774193548387</c:v>
                </c:pt>
                <c:pt idx="15">
                  <c:v>0.32795698924731181</c:v>
                </c:pt>
                <c:pt idx="16">
                  <c:v>0.28494623655913981</c:v>
                </c:pt>
                <c:pt idx="17">
                  <c:v>0.24193548387096775</c:v>
                </c:pt>
                <c:pt idx="18">
                  <c:v>0.19892473118279569</c:v>
                </c:pt>
                <c:pt idx="19">
                  <c:v>0.15591397849462366</c:v>
                </c:pt>
                <c:pt idx="20">
                  <c:v>0.11290322580645161</c:v>
                </c:pt>
                <c:pt idx="21">
                  <c:v>6.9892473118279563E-2</c:v>
                </c:pt>
                <c:pt idx="22">
                  <c:v>2.6881720430107527E-2</c:v>
                </c:pt>
              </c:numCache>
            </c:numRef>
          </c:val>
          <c:smooth val="0"/>
        </c:ser>
        <c:dLbls>
          <c:showLegendKey val="0"/>
          <c:showVal val="0"/>
          <c:showCatName val="0"/>
          <c:showSerName val="0"/>
          <c:showPercent val="0"/>
          <c:showBubbleSize val="0"/>
        </c:dLbls>
        <c:marker val="1"/>
        <c:smooth val="0"/>
        <c:axId val="120451456"/>
        <c:axId val="120452992"/>
      </c:lineChart>
      <c:catAx>
        <c:axId val="120451456"/>
        <c:scaling>
          <c:orientation val="minMax"/>
        </c:scaling>
        <c:delete val="0"/>
        <c:axPos val="b"/>
        <c:numFmt formatCode="General" sourceLinked="1"/>
        <c:majorTickMark val="out"/>
        <c:minorTickMark val="none"/>
        <c:tickLblPos val="nextTo"/>
        <c:crossAx val="120452992"/>
        <c:crosses val="autoZero"/>
        <c:auto val="1"/>
        <c:lblAlgn val="ctr"/>
        <c:lblOffset val="100"/>
        <c:noMultiLvlLbl val="0"/>
      </c:catAx>
      <c:valAx>
        <c:axId val="120452992"/>
        <c:scaling>
          <c:orientation val="minMax"/>
          <c:max val="1"/>
        </c:scaling>
        <c:delete val="0"/>
        <c:axPos val="l"/>
        <c:majorGridlines/>
        <c:numFmt formatCode="0,000,000" sourceLinked="1"/>
        <c:majorTickMark val="out"/>
        <c:minorTickMark val="none"/>
        <c:tickLblPos val="nextTo"/>
        <c:crossAx val="120451456"/>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144.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pt-PT"/>
              <a:t>Forno</a:t>
            </a:r>
            <a:r>
              <a:rPr lang="pt-PT" baseline="0"/>
              <a:t> 3 - Câmara de Fumos</a:t>
            </a:r>
            <a:endParaRPr lang="pt-PT"/>
          </a:p>
        </c:rich>
      </c:tx>
      <c:overlay val="0"/>
    </c:title>
    <c:autoTitleDeleted val="0"/>
    <c:plotArea>
      <c:layout/>
      <c:lineChart>
        <c:grouping val="standard"/>
        <c:varyColors val="0"/>
        <c:ser>
          <c:idx val="0"/>
          <c:order val="0"/>
          <c:marker>
            <c:symbol val="none"/>
          </c:marker>
          <c:cat>
            <c:numRef>
              <c:f>'Incinera 3 - Familias - Weibull'!$K$7:$K$32</c:f>
              <c:numCache>
                <c:formatCode>General</c:formatCode>
                <c:ptCount val="26"/>
                <c:pt idx="0">
                  <c:v>1</c:v>
                </c:pt>
                <c:pt idx="1">
                  <c:v>1</c:v>
                </c:pt>
                <c:pt idx="2">
                  <c:v>3</c:v>
                </c:pt>
                <c:pt idx="3">
                  <c:v>4</c:v>
                </c:pt>
                <c:pt idx="4">
                  <c:v>5</c:v>
                </c:pt>
                <c:pt idx="5">
                  <c:v>15</c:v>
                </c:pt>
                <c:pt idx="6">
                  <c:v>19</c:v>
                </c:pt>
                <c:pt idx="7">
                  <c:v>25</c:v>
                </c:pt>
                <c:pt idx="8">
                  <c:v>29</c:v>
                </c:pt>
                <c:pt idx="9">
                  <c:v>29</c:v>
                </c:pt>
                <c:pt idx="10">
                  <c:v>31</c:v>
                </c:pt>
                <c:pt idx="11">
                  <c:v>36</c:v>
                </c:pt>
                <c:pt idx="12">
                  <c:v>37</c:v>
                </c:pt>
                <c:pt idx="13">
                  <c:v>38</c:v>
                </c:pt>
                <c:pt idx="14">
                  <c:v>46</c:v>
                </c:pt>
                <c:pt idx="15">
                  <c:v>49</c:v>
                </c:pt>
                <c:pt idx="16">
                  <c:v>49</c:v>
                </c:pt>
                <c:pt idx="17">
                  <c:v>65</c:v>
                </c:pt>
                <c:pt idx="18">
                  <c:v>66</c:v>
                </c:pt>
                <c:pt idx="19">
                  <c:v>101</c:v>
                </c:pt>
                <c:pt idx="20">
                  <c:v>126</c:v>
                </c:pt>
                <c:pt idx="21">
                  <c:v>136</c:v>
                </c:pt>
                <c:pt idx="22">
                  <c:v>147</c:v>
                </c:pt>
                <c:pt idx="23">
                  <c:v>150</c:v>
                </c:pt>
                <c:pt idx="24">
                  <c:v>151</c:v>
                </c:pt>
                <c:pt idx="25">
                  <c:v>314</c:v>
                </c:pt>
              </c:numCache>
            </c:numRef>
          </c:cat>
          <c:val>
            <c:numRef>
              <c:f>'Incinera 3 - Familias - Weibull'!$M$7:$M$32</c:f>
              <c:numCache>
                <c:formatCode>0,000,000</c:formatCode>
                <c:ptCount val="26"/>
                <c:pt idx="0">
                  <c:v>0.97619047619047616</c:v>
                </c:pt>
                <c:pt idx="1">
                  <c:v>0.93809523809523809</c:v>
                </c:pt>
                <c:pt idx="2">
                  <c:v>0.9</c:v>
                </c:pt>
                <c:pt idx="3">
                  <c:v>0.86190476190476195</c:v>
                </c:pt>
                <c:pt idx="4">
                  <c:v>0.82380952380952377</c:v>
                </c:pt>
                <c:pt idx="5">
                  <c:v>0.7857142857142857</c:v>
                </c:pt>
                <c:pt idx="6">
                  <c:v>0.74761904761904763</c:v>
                </c:pt>
                <c:pt idx="7">
                  <c:v>0.70952380952380956</c:v>
                </c:pt>
                <c:pt idx="8">
                  <c:v>0.67142857142857137</c:v>
                </c:pt>
                <c:pt idx="9">
                  <c:v>0.6333333333333333</c:v>
                </c:pt>
                <c:pt idx="10">
                  <c:v>0.59523809523809523</c:v>
                </c:pt>
                <c:pt idx="11">
                  <c:v>0.55714285714285716</c:v>
                </c:pt>
                <c:pt idx="12">
                  <c:v>0.51904761904761909</c:v>
                </c:pt>
                <c:pt idx="13">
                  <c:v>0.48095238095238096</c:v>
                </c:pt>
                <c:pt idx="14">
                  <c:v>0.44285714285714284</c:v>
                </c:pt>
                <c:pt idx="15">
                  <c:v>0.40476190476190477</c:v>
                </c:pt>
                <c:pt idx="16">
                  <c:v>0.36666666666666664</c:v>
                </c:pt>
                <c:pt idx="17">
                  <c:v>0.32857142857142857</c:v>
                </c:pt>
                <c:pt idx="18">
                  <c:v>0.2904761904761905</c:v>
                </c:pt>
                <c:pt idx="19">
                  <c:v>0.25238095238095237</c:v>
                </c:pt>
                <c:pt idx="20">
                  <c:v>0.21428571428571427</c:v>
                </c:pt>
                <c:pt idx="21">
                  <c:v>0.1761904761904762</c:v>
                </c:pt>
                <c:pt idx="22">
                  <c:v>0.1380952380952381</c:v>
                </c:pt>
                <c:pt idx="23">
                  <c:v>0.1</c:v>
                </c:pt>
                <c:pt idx="24">
                  <c:v>6.1904761904761907E-2</c:v>
                </c:pt>
                <c:pt idx="25">
                  <c:v>2.3809523809523808E-2</c:v>
                </c:pt>
              </c:numCache>
            </c:numRef>
          </c:val>
          <c:smooth val="0"/>
        </c:ser>
        <c:dLbls>
          <c:showLegendKey val="0"/>
          <c:showVal val="0"/>
          <c:showCatName val="0"/>
          <c:showSerName val="0"/>
          <c:showPercent val="0"/>
          <c:showBubbleSize val="0"/>
        </c:dLbls>
        <c:marker val="1"/>
        <c:smooth val="0"/>
        <c:axId val="120804480"/>
        <c:axId val="120806016"/>
      </c:lineChart>
      <c:catAx>
        <c:axId val="120804480"/>
        <c:scaling>
          <c:orientation val="minMax"/>
        </c:scaling>
        <c:delete val="0"/>
        <c:axPos val="b"/>
        <c:numFmt formatCode="General" sourceLinked="1"/>
        <c:majorTickMark val="out"/>
        <c:minorTickMark val="none"/>
        <c:tickLblPos val="nextTo"/>
        <c:crossAx val="120806016"/>
        <c:crosses val="autoZero"/>
        <c:auto val="1"/>
        <c:lblAlgn val="ctr"/>
        <c:lblOffset val="100"/>
        <c:noMultiLvlLbl val="0"/>
      </c:catAx>
      <c:valAx>
        <c:axId val="120806016"/>
        <c:scaling>
          <c:orientation val="minMax"/>
          <c:max val="1"/>
        </c:scaling>
        <c:delete val="0"/>
        <c:axPos val="l"/>
        <c:majorGridlines/>
        <c:numFmt formatCode="0,000,000" sourceLinked="1"/>
        <c:majorTickMark val="out"/>
        <c:minorTickMark val="none"/>
        <c:tickLblPos val="nextTo"/>
        <c:crossAx val="120804480"/>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145.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pt-PT"/>
              <a:t>Forno</a:t>
            </a:r>
            <a:r>
              <a:rPr lang="pt-PT" baseline="0"/>
              <a:t> 3 - Torre de Ciclones</a:t>
            </a:r>
            <a:endParaRPr lang="pt-PT"/>
          </a:p>
        </c:rich>
      </c:tx>
      <c:overlay val="0"/>
    </c:title>
    <c:autoTitleDeleted val="0"/>
    <c:plotArea>
      <c:layout/>
      <c:lineChart>
        <c:grouping val="standard"/>
        <c:varyColors val="0"/>
        <c:ser>
          <c:idx val="0"/>
          <c:order val="0"/>
          <c:marker>
            <c:symbol val="none"/>
          </c:marker>
          <c:cat>
            <c:numRef>
              <c:f>'Incinera 3 - Familias - Weibull'!$T$7:$T$19</c:f>
              <c:numCache>
                <c:formatCode>General</c:formatCode>
                <c:ptCount val="13"/>
                <c:pt idx="0">
                  <c:v>1</c:v>
                </c:pt>
                <c:pt idx="1">
                  <c:v>1</c:v>
                </c:pt>
                <c:pt idx="2">
                  <c:v>22</c:v>
                </c:pt>
                <c:pt idx="3">
                  <c:v>23</c:v>
                </c:pt>
                <c:pt idx="4">
                  <c:v>48</c:v>
                </c:pt>
                <c:pt idx="5">
                  <c:v>50</c:v>
                </c:pt>
                <c:pt idx="6">
                  <c:v>52</c:v>
                </c:pt>
                <c:pt idx="7">
                  <c:v>64</c:v>
                </c:pt>
                <c:pt idx="8">
                  <c:v>76</c:v>
                </c:pt>
                <c:pt idx="9">
                  <c:v>99</c:v>
                </c:pt>
                <c:pt idx="10">
                  <c:v>125</c:v>
                </c:pt>
                <c:pt idx="11">
                  <c:v>168</c:v>
                </c:pt>
                <c:pt idx="12">
                  <c:v>265</c:v>
                </c:pt>
              </c:numCache>
            </c:numRef>
          </c:cat>
          <c:val>
            <c:numRef>
              <c:f>'Incinera 3 - Familias - Weibull'!$V$7:$V$19</c:f>
              <c:numCache>
                <c:formatCode>0,000,000</c:formatCode>
                <c:ptCount val="13"/>
                <c:pt idx="0">
                  <c:v>0.95283018867924529</c:v>
                </c:pt>
                <c:pt idx="1">
                  <c:v>0.87735849056603776</c:v>
                </c:pt>
                <c:pt idx="2">
                  <c:v>0.80188679245283023</c:v>
                </c:pt>
                <c:pt idx="3">
                  <c:v>0.72641509433962259</c:v>
                </c:pt>
                <c:pt idx="4">
                  <c:v>0.65094339622641506</c:v>
                </c:pt>
                <c:pt idx="5">
                  <c:v>0.57547169811320753</c:v>
                </c:pt>
                <c:pt idx="6">
                  <c:v>0.5</c:v>
                </c:pt>
                <c:pt idx="7">
                  <c:v>0.42452830188679247</c:v>
                </c:pt>
                <c:pt idx="8">
                  <c:v>0.34905660377358488</c:v>
                </c:pt>
                <c:pt idx="9">
                  <c:v>0.27358490566037735</c:v>
                </c:pt>
                <c:pt idx="10">
                  <c:v>0.19811320754716982</c:v>
                </c:pt>
                <c:pt idx="11">
                  <c:v>0.12264150943396226</c:v>
                </c:pt>
                <c:pt idx="12">
                  <c:v>4.716981132075472E-2</c:v>
                </c:pt>
              </c:numCache>
            </c:numRef>
          </c:val>
          <c:smooth val="0"/>
        </c:ser>
        <c:dLbls>
          <c:showLegendKey val="0"/>
          <c:showVal val="0"/>
          <c:showCatName val="0"/>
          <c:showSerName val="0"/>
          <c:showPercent val="0"/>
          <c:showBubbleSize val="0"/>
        </c:dLbls>
        <c:marker val="1"/>
        <c:smooth val="0"/>
        <c:axId val="120830592"/>
        <c:axId val="120832384"/>
      </c:lineChart>
      <c:catAx>
        <c:axId val="120830592"/>
        <c:scaling>
          <c:orientation val="minMax"/>
        </c:scaling>
        <c:delete val="0"/>
        <c:axPos val="b"/>
        <c:numFmt formatCode="General" sourceLinked="1"/>
        <c:majorTickMark val="out"/>
        <c:minorTickMark val="none"/>
        <c:tickLblPos val="nextTo"/>
        <c:crossAx val="120832384"/>
        <c:crosses val="autoZero"/>
        <c:auto val="1"/>
        <c:lblAlgn val="ctr"/>
        <c:lblOffset val="100"/>
        <c:noMultiLvlLbl val="0"/>
      </c:catAx>
      <c:valAx>
        <c:axId val="120832384"/>
        <c:scaling>
          <c:orientation val="minMax"/>
          <c:max val="1"/>
        </c:scaling>
        <c:delete val="0"/>
        <c:axPos val="l"/>
        <c:majorGridlines/>
        <c:numFmt formatCode="0,000,000" sourceLinked="1"/>
        <c:majorTickMark val="out"/>
        <c:minorTickMark val="none"/>
        <c:tickLblPos val="nextTo"/>
        <c:crossAx val="120830592"/>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146.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pt-PT"/>
              <a:t>Forno</a:t>
            </a:r>
            <a:r>
              <a:rPr lang="pt-PT" baseline="0"/>
              <a:t> 3 - Arrefecedor</a:t>
            </a:r>
            <a:endParaRPr lang="pt-PT"/>
          </a:p>
        </c:rich>
      </c:tx>
      <c:overlay val="0"/>
    </c:title>
    <c:autoTitleDeleted val="0"/>
    <c:plotArea>
      <c:layout/>
      <c:lineChart>
        <c:grouping val="standard"/>
        <c:varyColors val="0"/>
        <c:ser>
          <c:idx val="0"/>
          <c:order val="0"/>
          <c:marker>
            <c:symbol val="none"/>
          </c:marker>
          <c:cat>
            <c:numRef>
              <c:f>'Incinera 3 - Familias - Weibull'!$Z$7:$Z$12</c:f>
              <c:numCache>
                <c:formatCode>General</c:formatCode>
                <c:ptCount val="6"/>
                <c:pt idx="0">
                  <c:v>6</c:v>
                </c:pt>
                <c:pt idx="1">
                  <c:v>6</c:v>
                </c:pt>
                <c:pt idx="2">
                  <c:v>26</c:v>
                </c:pt>
                <c:pt idx="3">
                  <c:v>173</c:v>
                </c:pt>
                <c:pt idx="4">
                  <c:v>206</c:v>
                </c:pt>
                <c:pt idx="5">
                  <c:v>460</c:v>
                </c:pt>
              </c:numCache>
            </c:numRef>
          </c:cat>
          <c:val>
            <c:numRef>
              <c:f>'Incinera 3 - Familias - Weibull'!$AB$7:$AB$12</c:f>
              <c:numCache>
                <c:formatCode>0,000,000</c:formatCode>
                <c:ptCount val="6"/>
                <c:pt idx="0">
                  <c:v>0.9</c:v>
                </c:pt>
                <c:pt idx="1">
                  <c:v>0.74</c:v>
                </c:pt>
                <c:pt idx="2">
                  <c:v>0.57999999999999996</c:v>
                </c:pt>
                <c:pt idx="3">
                  <c:v>0.42</c:v>
                </c:pt>
                <c:pt idx="4">
                  <c:v>0.26</c:v>
                </c:pt>
                <c:pt idx="5">
                  <c:v>0.1</c:v>
                </c:pt>
              </c:numCache>
            </c:numRef>
          </c:val>
          <c:smooth val="0"/>
        </c:ser>
        <c:dLbls>
          <c:showLegendKey val="0"/>
          <c:showVal val="0"/>
          <c:showCatName val="0"/>
          <c:showSerName val="0"/>
          <c:showPercent val="0"/>
          <c:showBubbleSize val="0"/>
        </c:dLbls>
        <c:marker val="1"/>
        <c:smooth val="0"/>
        <c:axId val="121196928"/>
        <c:axId val="121198464"/>
      </c:lineChart>
      <c:catAx>
        <c:axId val="121196928"/>
        <c:scaling>
          <c:orientation val="minMax"/>
        </c:scaling>
        <c:delete val="0"/>
        <c:axPos val="b"/>
        <c:numFmt formatCode="General" sourceLinked="1"/>
        <c:majorTickMark val="out"/>
        <c:minorTickMark val="none"/>
        <c:tickLblPos val="nextTo"/>
        <c:crossAx val="121198464"/>
        <c:crosses val="autoZero"/>
        <c:auto val="1"/>
        <c:lblAlgn val="ctr"/>
        <c:lblOffset val="100"/>
        <c:noMultiLvlLbl val="0"/>
      </c:catAx>
      <c:valAx>
        <c:axId val="121198464"/>
        <c:scaling>
          <c:orientation val="minMax"/>
          <c:max val="1"/>
        </c:scaling>
        <c:delete val="0"/>
        <c:axPos val="l"/>
        <c:majorGridlines/>
        <c:numFmt formatCode="0,000,000" sourceLinked="1"/>
        <c:majorTickMark val="out"/>
        <c:minorTickMark val="none"/>
        <c:tickLblPos val="nextTo"/>
        <c:crossAx val="121196928"/>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147.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pt-PT"/>
              <a:t>Moinho de Carvão 31</a:t>
            </a:r>
            <a:r>
              <a:rPr lang="pt-PT" baseline="0"/>
              <a:t> - Chaminé</a:t>
            </a:r>
            <a:endParaRPr lang="pt-PT"/>
          </a:p>
        </c:rich>
      </c:tx>
      <c:layout/>
      <c:overlay val="0"/>
    </c:title>
    <c:autoTitleDeleted val="0"/>
    <c:plotArea>
      <c:layout/>
      <c:lineChart>
        <c:grouping val="standard"/>
        <c:varyColors val="0"/>
        <c:ser>
          <c:idx val="0"/>
          <c:order val="0"/>
          <c:tx>
            <c:v>2012</c:v>
          </c:tx>
          <c:marker>
            <c:symbol val="none"/>
          </c:marker>
          <c:cat>
            <c:numRef>
              <c:f>'Inciner 3 - Total - Exponencial'!$AJ$6:$AJ$79</c:f>
              <c:numCache>
                <c:formatCode>General</c:formatCode>
                <c:ptCount val="74"/>
                <c:pt idx="0">
                  <c:v>1</c:v>
                </c:pt>
                <c:pt idx="1">
                  <c:v>6</c:v>
                </c:pt>
                <c:pt idx="2">
                  <c:v>11</c:v>
                </c:pt>
                <c:pt idx="3">
                  <c:v>16</c:v>
                </c:pt>
                <c:pt idx="4">
                  <c:v>21</c:v>
                </c:pt>
                <c:pt idx="5">
                  <c:v>26</c:v>
                </c:pt>
                <c:pt idx="6">
                  <c:v>31</c:v>
                </c:pt>
                <c:pt idx="7">
                  <c:v>36</c:v>
                </c:pt>
                <c:pt idx="8">
                  <c:v>41</c:v>
                </c:pt>
                <c:pt idx="9">
                  <c:v>46</c:v>
                </c:pt>
                <c:pt idx="10">
                  <c:v>51</c:v>
                </c:pt>
                <c:pt idx="11">
                  <c:v>56</c:v>
                </c:pt>
                <c:pt idx="12">
                  <c:v>61</c:v>
                </c:pt>
                <c:pt idx="13">
                  <c:v>66</c:v>
                </c:pt>
                <c:pt idx="14">
                  <c:v>71</c:v>
                </c:pt>
                <c:pt idx="15">
                  <c:v>76</c:v>
                </c:pt>
                <c:pt idx="16">
                  <c:v>81</c:v>
                </c:pt>
                <c:pt idx="17">
                  <c:v>86</c:v>
                </c:pt>
                <c:pt idx="18">
                  <c:v>91</c:v>
                </c:pt>
                <c:pt idx="19">
                  <c:v>96</c:v>
                </c:pt>
                <c:pt idx="20">
                  <c:v>101</c:v>
                </c:pt>
                <c:pt idx="21">
                  <c:v>106</c:v>
                </c:pt>
                <c:pt idx="22">
                  <c:v>111</c:v>
                </c:pt>
                <c:pt idx="23">
                  <c:v>116</c:v>
                </c:pt>
                <c:pt idx="24">
                  <c:v>121</c:v>
                </c:pt>
                <c:pt idx="25">
                  <c:v>126</c:v>
                </c:pt>
                <c:pt idx="26">
                  <c:v>131</c:v>
                </c:pt>
                <c:pt idx="27">
                  <c:v>136</c:v>
                </c:pt>
                <c:pt idx="28">
                  <c:v>141</c:v>
                </c:pt>
                <c:pt idx="29">
                  <c:v>146</c:v>
                </c:pt>
                <c:pt idx="30">
                  <c:v>151</c:v>
                </c:pt>
                <c:pt idx="31">
                  <c:v>156</c:v>
                </c:pt>
                <c:pt idx="32">
                  <c:v>161</c:v>
                </c:pt>
                <c:pt idx="33">
                  <c:v>166</c:v>
                </c:pt>
                <c:pt idx="34">
                  <c:v>171</c:v>
                </c:pt>
                <c:pt idx="35">
                  <c:v>176</c:v>
                </c:pt>
                <c:pt idx="36">
                  <c:v>181</c:v>
                </c:pt>
                <c:pt idx="37">
                  <c:v>186</c:v>
                </c:pt>
                <c:pt idx="38">
                  <c:v>191</c:v>
                </c:pt>
                <c:pt idx="39">
                  <c:v>196</c:v>
                </c:pt>
                <c:pt idx="40">
                  <c:v>201</c:v>
                </c:pt>
                <c:pt idx="41">
                  <c:v>206</c:v>
                </c:pt>
                <c:pt idx="42">
                  <c:v>211</c:v>
                </c:pt>
                <c:pt idx="43">
                  <c:v>216</c:v>
                </c:pt>
                <c:pt idx="44">
                  <c:v>221</c:v>
                </c:pt>
                <c:pt idx="45">
                  <c:v>226</c:v>
                </c:pt>
                <c:pt idx="46">
                  <c:v>231</c:v>
                </c:pt>
                <c:pt idx="47">
                  <c:v>236</c:v>
                </c:pt>
                <c:pt idx="48">
                  <c:v>241</c:v>
                </c:pt>
                <c:pt idx="49">
                  <c:v>246</c:v>
                </c:pt>
                <c:pt idx="50">
                  <c:v>251</c:v>
                </c:pt>
                <c:pt idx="51">
                  <c:v>256</c:v>
                </c:pt>
                <c:pt idx="52">
                  <c:v>261</c:v>
                </c:pt>
                <c:pt idx="53">
                  <c:v>266</c:v>
                </c:pt>
                <c:pt idx="54">
                  <c:v>271</c:v>
                </c:pt>
                <c:pt idx="55">
                  <c:v>276</c:v>
                </c:pt>
                <c:pt idx="56">
                  <c:v>281</c:v>
                </c:pt>
                <c:pt idx="57">
                  <c:v>286</c:v>
                </c:pt>
                <c:pt idx="58">
                  <c:v>291</c:v>
                </c:pt>
                <c:pt idx="59">
                  <c:v>296</c:v>
                </c:pt>
                <c:pt idx="60">
                  <c:v>301</c:v>
                </c:pt>
                <c:pt idx="61">
                  <c:v>306</c:v>
                </c:pt>
                <c:pt idx="62">
                  <c:v>311</c:v>
                </c:pt>
                <c:pt idx="63">
                  <c:v>316</c:v>
                </c:pt>
                <c:pt idx="64">
                  <c:v>321</c:v>
                </c:pt>
                <c:pt idx="65">
                  <c:v>326</c:v>
                </c:pt>
                <c:pt idx="66">
                  <c:v>331</c:v>
                </c:pt>
                <c:pt idx="67">
                  <c:v>336</c:v>
                </c:pt>
                <c:pt idx="68">
                  <c:v>341</c:v>
                </c:pt>
                <c:pt idx="69">
                  <c:v>346</c:v>
                </c:pt>
                <c:pt idx="70">
                  <c:v>351</c:v>
                </c:pt>
                <c:pt idx="71">
                  <c:v>356</c:v>
                </c:pt>
                <c:pt idx="72">
                  <c:v>361</c:v>
                </c:pt>
                <c:pt idx="73">
                  <c:v>366</c:v>
                </c:pt>
              </c:numCache>
            </c:numRef>
          </c:cat>
          <c:val>
            <c:numRef>
              <c:f>'Comb.fo 31 - Total - Exponencia'!$AK$6:$AK$79</c:f>
              <c:numCache>
                <c:formatCode>General</c:formatCode>
                <c:ptCount val="74"/>
                <c:pt idx="0">
                  <c:v>0.99721836062779279</c:v>
                </c:pt>
                <c:pt idx="1">
                  <c:v>0.98342579696807908</c:v>
                </c:pt>
                <c:pt idx="2">
                  <c:v>0.96982399876136749</c:v>
                </c:pt>
                <c:pt idx="3">
                  <c:v>0.95641032752369259</c:v>
                </c:pt>
                <c:pt idx="4">
                  <c:v>0.94318218126405728</c:v>
                </c:pt>
                <c:pt idx="5">
                  <c:v>0.93013699397969707</c:v>
                </c:pt>
                <c:pt idx="6">
                  <c:v>0.9172722351583259</c:v>
                </c:pt>
                <c:pt idx="7">
                  <c:v>0.9045854092872655</c:v>
                </c:pt>
                <c:pt idx="8">
                  <c:v>0.89207405536936502</c:v>
                </c:pt>
                <c:pt idx="9">
                  <c:v>0.87973574644561525</c:v>
                </c:pt>
                <c:pt idx="10">
                  <c:v>0.867568089124366</c:v>
                </c:pt>
                <c:pt idx="11">
                  <c:v>0.85556872311705456</c:v>
                </c:pt>
                <c:pt idx="12">
                  <c:v>0.84373532078035562</c:v>
                </c:pt>
                <c:pt idx="13">
                  <c:v>0.83206558666466413</c:v>
                </c:pt>
                <c:pt idx="14">
                  <c:v>0.82055725706882254</c:v>
                </c:pt>
                <c:pt idx="15">
                  <c:v>0.80920809960100692</c:v>
                </c:pt>
                <c:pt idx="16">
                  <c:v>0.79801591274568617</c:v>
                </c:pt>
                <c:pt idx="17">
                  <c:v>0.78697852543657143</c:v>
                </c:pt>
                <c:pt idx="18">
                  <c:v>0.77609379663547085</c:v>
                </c:pt>
                <c:pt idx="19">
                  <c:v>0.76535961491697058</c:v>
                </c:pt>
                <c:pt idx="20">
                  <c:v>0.75477389805885875</c:v>
                </c:pt>
                <c:pt idx="21">
                  <c:v>0.74433459263821511</c:v>
                </c:pt>
                <c:pt idx="22">
                  <c:v>0.73403967363308709</c:v>
                </c:pt>
                <c:pt idx="23">
                  <c:v>0.7238871440296748</c:v>
                </c:pt>
                <c:pt idx="24">
                  <c:v>0.7138750344349496</c:v>
                </c:pt>
                <c:pt idx="25">
                  <c:v>0.70400140269462974</c:v>
                </c:pt>
                <c:pt idx="26">
                  <c:v>0.69426433351644024</c:v>
                </c:pt>
                <c:pt idx="27">
                  <c:v>0.68466193809858422</c:v>
                </c:pt>
                <c:pt idx="28">
                  <c:v>0.67519235376335118</c:v>
                </c:pt>
                <c:pt idx="29">
                  <c:v>0.66585374359579441</c:v>
                </c:pt>
                <c:pt idx="30">
                  <c:v>0.65664429608740515</c:v>
                </c:pt>
                <c:pt idx="31">
                  <c:v>0.64756222478471492</c:v>
                </c:pt>
                <c:pt idx="32">
                  <c:v>0.63860576794275881</c:v>
                </c:pt>
                <c:pt idx="33">
                  <c:v>0.62977318818333095</c:v>
                </c:pt>
                <c:pt idx="34">
                  <c:v>0.62106277215796701</c:v>
                </c:pt>
                <c:pt idx="35">
                  <c:v>0.61247283021558807</c:v>
                </c:pt>
                <c:pt idx="36">
                  <c:v>0.60400169607474108</c:v>
                </c:pt>
                <c:pt idx="37">
                  <c:v>0.5956477265003729</c:v>
                </c:pt>
                <c:pt idx="38">
                  <c:v>0.58740930098507438</c:v>
                </c:pt>
                <c:pt idx="39">
                  <c:v>0.57928482143473381</c:v>
                </c:pt>
                <c:pt idx="40">
                  <c:v>0.57127271185853779</c:v>
                </c:pt>
                <c:pt idx="41">
                  <c:v>0.56337141806325919</c:v>
                </c:pt>
                <c:pt idx="42">
                  <c:v>0.5555794073517748</c:v>
                </c:pt>
                <c:pt idx="43">
                  <c:v>0.54789516822575102</c:v>
                </c:pt>
                <c:pt idx="44">
                  <c:v>0.54031721009244316</c:v>
                </c:pt>
                <c:pt idx="45">
                  <c:v>0.53284406297554965</c:v>
                </c:pt>
                <c:pt idx="46">
                  <c:v>0.52547427723006446</c:v>
                </c:pt>
                <c:pt idx="47">
                  <c:v>0.51820642326107513</c:v>
                </c:pt>
                <c:pt idx="48">
                  <c:v>0.51103909124644864</c:v>
                </c:pt>
                <c:pt idx="49">
                  <c:v>0.50397089086335345</c:v>
                </c:pt>
                <c:pt idx="50">
                  <c:v>0.4970004510185641</c:v>
                </c:pt>
                <c:pt idx="51">
                  <c:v>0.49012641958249575</c:v>
                </c:pt>
                <c:pt idx="52">
                  <c:v>0.48334746312691729</c:v>
                </c:pt>
                <c:pt idx="53">
                  <c:v>0.47666226666629236</c:v>
                </c:pt>
                <c:pt idx="54">
                  <c:v>0.47006953340269758</c:v>
                </c:pt>
                <c:pt idx="55">
                  <c:v>0.46356798447426928</c:v>
                </c:pt>
                <c:pt idx="56">
                  <c:v>0.45715635870712901</c:v>
                </c:pt>
                <c:pt idx="57">
                  <c:v>0.45083341237074037</c:v>
                </c:pt>
                <c:pt idx="58">
                  <c:v>0.44459791893664952</c:v>
                </c:pt>
                <c:pt idx="59">
                  <c:v>0.43844866884056272</c:v>
                </c:pt>
                <c:pt idx="60">
                  <c:v>0.43238446924771412</c:v>
                </c:pt>
                <c:pt idx="61">
                  <c:v>0.42640414382147923</c:v>
                </c:pt>
                <c:pt idx="62">
                  <c:v>0.42050653249518855</c:v>
                </c:pt>
                <c:pt idx="63">
                  <c:v>0.41469049124709711</c:v>
                </c:pt>
                <c:pt idx="64">
                  <c:v>0.40895489187846656</c:v>
                </c:pt>
                <c:pt idx="65">
                  <c:v>0.40329862179471665</c:v>
                </c:pt>
                <c:pt idx="66">
                  <c:v>0.39772058378960357</c:v>
                </c:pt>
                <c:pt idx="67">
                  <c:v>0.39221969583238303</c:v>
                </c:pt>
                <c:pt idx="68">
                  <c:v>0.38679489085791779</c:v>
                </c:pt>
                <c:pt idx="69">
                  <c:v>0.38144511655968755</c:v>
                </c:pt>
                <c:pt idx="70">
                  <c:v>0.37616933518566198</c:v>
                </c:pt>
                <c:pt idx="71">
                  <c:v>0.37096652333699709</c:v>
                </c:pt>
                <c:pt idx="72">
                  <c:v>0.36583567176951587</c:v>
                </c:pt>
                <c:pt idx="73">
                  <c:v>0.36077578519793424</c:v>
                </c:pt>
              </c:numCache>
            </c:numRef>
          </c:val>
          <c:smooth val="0"/>
        </c:ser>
        <c:ser>
          <c:idx val="1"/>
          <c:order val="1"/>
          <c:tx>
            <c:v>2014</c:v>
          </c:tx>
          <c:marker>
            <c:symbol val="none"/>
          </c:marker>
          <c:val>
            <c:numRef>
              <c:f>'Comb.fo 31 - Total - Exponencia'!$AL$6:$AL$79</c:f>
              <c:numCache>
                <c:formatCode>General</c:formatCode>
                <c:ptCount val="74"/>
                <c:pt idx="0">
                  <c:v>0.99439777379699545</c:v>
                </c:pt>
                <c:pt idx="1">
                  <c:v>0.96685391509006513</c:v>
                </c:pt>
                <c:pt idx="2">
                  <c:v>0.94007299468856809</c:v>
                </c:pt>
                <c:pt idx="3">
                  <c:v>0.91403387993770491</c:v>
                </c:pt>
                <c:pt idx="4">
                  <c:v>0.88871602353682044</c:v>
                </c:pt>
                <c:pt idx="5">
                  <c:v>0.86409944732565891</c:v>
                </c:pt>
                <c:pt idx="6">
                  <c:v>0.84016472651972374</c:v>
                </c:pt>
                <c:pt idx="7">
                  <c:v>0.81689297438230357</c:v>
                </c:pt>
                <c:pt idx="8">
                  <c:v>0.79426582732106754</c:v>
                </c:pt>
                <c:pt idx="9">
                  <c:v>0.77226543039747109</c:v>
                </c:pt>
                <c:pt idx="10">
                  <c:v>0.75087442323753628</c:v>
                </c:pt>
                <c:pt idx="11">
                  <c:v>0.73007592633289142</c:v>
                </c:pt>
                <c:pt idx="12">
                  <c:v>0.70985352772125732</c:v>
                </c:pt>
                <c:pt idx="13">
                  <c:v>0.69019127003587155</c:v>
                </c:pt>
                <c:pt idx="14">
                  <c:v>0.67107363791363217</c:v>
                </c:pt>
                <c:pt idx="15">
                  <c:v>0.65248554575202167</c:v>
                </c:pt>
                <c:pt idx="16">
                  <c:v>0.63441232580515461</c:v>
                </c:pt>
                <c:pt idx="17">
                  <c:v>0.61683971660955161</c:v>
                </c:pt>
                <c:pt idx="18">
                  <c:v>0.59975385173050877</c:v>
                </c:pt>
                <c:pt idx="19">
                  <c:v>0.58314124882018203</c:v>
                </c:pt>
                <c:pt idx="20">
                  <c:v>0.56698879897875165</c:v>
                </c:pt>
                <c:pt idx="21">
                  <c:v>0.55128375641027227</c:v>
                </c:pt>
                <c:pt idx="22">
                  <c:v>0.53601372836504635</c:v>
                </c:pt>
                <c:pt idx="23">
                  <c:v>0.52116666536058331</c:v>
                </c:pt>
                <c:pt idx="24">
                  <c:v>0.50673085167342946</c:v>
                </c:pt>
                <c:pt idx="25">
                  <c:v>0.49269489609436479</c:v>
                </c:pt>
                <c:pt idx="26">
                  <c:v>0.47904772293967168</c:v>
                </c:pt>
                <c:pt idx="27">
                  <c:v>0.46577856331138323</c:v>
                </c:pt>
                <c:pt idx="28">
                  <c:v>0.45287694659961369</c:v>
                </c:pt>
                <c:pt idx="29">
                  <c:v>0.44033269222026672</c:v>
                </c:pt>
                <c:pt idx="30">
                  <c:v>0.42813590158160092</c:v>
                </c:pt>
                <c:pt idx="31">
                  <c:v>0.41627695027331363</c:v>
                </c:pt>
                <c:pt idx="32">
                  <c:v>0.40474648047197959</c:v>
                </c:pt>
                <c:pt idx="33">
                  <c:v>0.39353539355685196</c:v>
                </c:pt>
                <c:pt idx="34">
                  <c:v>0.38263484293019795</c:v>
                </c:pt>
                <c:pt idx="35">
                  <c:v>0.37203622703650485</c:v>
                </c:pt>
                <c:pt idx="36">
                  <c:v>0.36173118257504683</c:v>
                </c:pt>
                <c:pt idx="37">
                  <c:v>0.35171157790045721</c:v>
                </c:pt>
                <c:pt idx="38">
                  <c:v>0.34196950660609859</c:v>
                </c:pt>
                <c:pt idx="39">
                  <c:v>0.33249728128516787</c:v>
                </c:pt>
                <c:pt idx="40">
                  <c:v>0.32328742746461137</c:v>
                </c:pt>
                <c:pt idx="41">
                  <c:v>0.31433267770706608</c:v>
                </c:pt>
                <c:pt idx="42">
                  <c:v>0.30562596587617052</c:v>
                </c:pt>
                <c:pt idx="43">
                  <c:v>0.29716042156072142</c:v>
                </c:pt>
                <c:pt idx="44">
                  <c:v>0.28892936465327568</c:v>
                </c:pt>
                <c:pt idx="45">
                  <c:v>0.28092630007891994</c:v>
                </c:pt>
                <c:pt idx="46">
                  <c:v>0.27314491267004776</c:v>
                </c:pt>
                <c:pt idx="47">
                  <c:v>0.26557906218310112</c:v>
                </c:pt>
                <c:pt idx="48">
                  <c:v>0.25822277845334313</c:v>
                </c:pt>
                <c:pt idx="49">
                  <c:v>0.25107025668383853</c:v>
                </c:pt>
                <c:pt idx="50">
                  <c:v>0.24411585286492557</c:v>
                </c:pt>
                <c:pt idx="51">
                  <c:v>0.23735407932056327</c:v>
                </c:pt>
                <c:pt idx="52">
                  <c:v>0.23077960037804124</c:v>
                </c:pt>
                <c:pt idx="53">
                  <c:v>0.22438722815763409</c:v>
                </c:pt>
                <c:pt idx="54">
                  <c:v>0.21817191847887832</c:v>
                </c:pt>
                <c:pt idx="55">
                  <c:v>0.21212876688024157</c:v>
                </c:pt>
                <c:pt idx="56">
                  <c:v>0.20625300474904282</c:v>
                </c:pt>
                <c:pt idx="57">
                  <c:v>0.20053999555857047</c:v>
                </c:pt>
                <c:pt idx="58">
                  <c:v>0.19498523120942848</c:v>
                </c:pt>
                <c:pt idx="59">
                  <c:v>0.18958432847222356</c:v>
                </c:pt>
                <c:pt idx="60">
                  <c:v>0.18433302552878672</c:v>
                </c:pt>
                <c:pt idx="61">
                  <c:v>0.1792271786091994</c:v>
                </c:pt>
                <c:pt idx="62">
                  <c:v>0.17426275872197089</c:v>
                </c:pt>
                <c:pt idx="63">
                  <c:v>0.16943584847478671</c:v>
                </c:pt>
                <c:pt idx="64">
                  <c:v>0.16474263898331903</c:v>
                </c:pt>
                <c:pt idx="65">
                  <c:v>0.16017942686566022</c:v>
                </c:pt>
                <c:pt idx="66">
                  <c:v>0.15574261132000763</c:v>
                </c:pt>
                <c:pt idx="67">
                  <c:v>0.15142869128329364</c:v>
                </c:pt>
                <c:pt idx="68">
                  <c:v>0.14723426266851891</c:v>
                </c:pt>
                <c:pt idx="69">
                  <c:v>0.14315601567860894</c:v>
                </c:pt>
                <c:pt idx="70">
                  <c:v>0.13919073219467418</c:v>
                </c:pt>
                <c:pt idx="71">
                  <c:v>0.1353352832366127</c:v>
                </c:pt>
                <c:pt idx="72">
                  <c:v>0.13158662649405181</c:v>
                </c:pt>
                <c:pt idx="73">
                  <c:v>0.12794180392568019</c:v>
                </c:pt>
              </c:numCache>
            </c:numRef>
          </c:val>
          <c:smooth val="0"/>
        </c:ser>
        <c:ser>
          <c:idx val="2"/>
          <c:order val="2"/>
          <c:tx>
            <c:v>2015</c:v>
          </c:tx>
          <c:marker>
            <c:symbol val="none"/>
          </c:marker>
          <c:val>
            <c:numRef>
              <c:f>'Comb.fo 31 - Total - Exponencia'!$AM$6:$AM$79</c:f>
              <c:numCache>
                <c:formatCode>General</c:formatCode>
                <c:ptCount val="74"/>
                <c:pt idx="0">
                  <c:v>0.99163184820119987</c:v>
                </c:pt>
                <c:pt idx="1">
                  <c:v>0.95082983222576778</c:v>
                </c:pt>
                <c:pt idx="2">
                  <c:v>0.91170666965815983</c:v>
                </c:pt>
                <c:pt idx="3">
                  <c:v>0.87419328183406031</c:v>
                </c:pt>
                <c:pt idx="4">
                  <c:v>0.8382234324229999</c:v>
                </c:pt>
                <c:pt idx="5">
                  <c:v>0.80373361047673531</c:v>
                </c:pt>
                <c:pt idx="6">
                  <c:v>0.77066291828975986</c:v>
                </c:pt>
                <c:pt idx="7">
                  <c:v>0.73895296387394338</c:v>
                </c:pt>
                <c:pt idx="8">
                  <c:v>0.70854775785744606</c:v>
                </c:pt>
                <c:pt idx="9">
                  <c:v>0.67939361462586423</c:v>
                </c:pt>
                <c:pt idx="10">
                  <c:v>0.65143905753105558</c:v>
                </c:pt>
                <c:pt idx="11">
                  <c:v>0.62463472800027442</c:v>
                </c:pt>
                <c:pt idx="12">
                  <c:v>0.59893329838513198</c:v>
                </c:pt>
                <c:pt idx="13">
                  <c:v>0.57428938839650279</c:v>
                </c:pt>
                <c:pt idx="14">
                  <c:v>0.55065948497782913</c:v>
                </c:pt>
                <c:pt idx="15">
                  <c:v>0.52800186547534433</c:v>
                </c:pt>
                <c:pt idx="16">
                  <c:v>0.50627652396956024</c:v>
                </c:pt>
                <c:pt idx="17">
                  <c:v>0.48544510063794399</c:v>
                </c:pt>
                <c:pt idx="18">
                  <c:v>0.46547081402406171</c:v>
                </c:pt>
                <c:pt idx="19">
                  <c:v>0.44631839609359841</c:v>
                </c:pt>
                <c:pt idx="20">
                  <c:v>0.42795402996258514</c:v>
                </c:pt>
                <c:pt idx="21">
                  <c:v>0.41034529018788096</c:v>
                </c:pt>
                <c:pt idx="22">
                  <c:v>0.39346108551448272</c:v>
                </c:pt>
                <c:pt idx="23">
                  <c:v>0.37727160397857362</c:v>
                </c:pt>
                <c:pt idx="24">
                  <c:v>0.36174826026937951</c:v>
                </c:pt>
                <c:pt idx="25">
                  <c:v>0.34686364525689234</c:v>
                </c:pt>
                <c:pt idx="26">
                  <c:v>0.33259147759634267</c:v>
                </c:pt>
                <c:pt idx="27">
                  <c:v>0.31890655732397044</c:v>
                </c:pt>
                <c:pt idx="28">
                  <c:v>0.30578472136216034</c:v>
                </c:pt>
                <c:pt idx="29">
                  <c:v>0.29320280085537731</c:v>
                </c:pt>
                <c:pt idx="30">
                  <c:v>0.28113858026157157</c:v>
                </c:pt>
                <c:pt idx="31">
                  <c:v>0.26957075812682357</c:v>
                </c:pt>
                <c:pt idx="32">
                  <c:v>0.25847890947396718</c:v>
                </c:pt>
                <c:pt idx="33">
                  <c:v>0.24784344973878408</c:v>
                </c:pt>
                <c:pt idx="34">
                  <c:v>0.23764560019009123</c:v>
                </c:pt>
                <c:pt idx="35">
                  <c:v>0.22786735477266509</c:v>
                </c:pt>
                <c:pt idx="36">
                  <c:v>0.21849144831445771</c:v>
                </c:pt>
                <c:pt idx="37">
                  <c:v>0.20950132604196997</c:v>
                </c:pt>
                <c:pt idx="38">
                  <c:v>0.20088111434995476</c:v>
                </c:pt>
                <c:pt idx="39">
                  <c:v>0.19261559277384013</c:v>
                </c:pt>
                <c:pt idx="40">
                  <c:v>0.18469016711538452</c:v>
                </c:pt>
                <c:pt idx="41">
                  <c:v>0.17709084367411268</c:v>
                </c:pt>
                <c:pt idx="42">
                  <c:v>0.16980420453903336</c:v>
                </c:pt>
                <c:pt idx="43">
                  <c:v>0.16281738389701275</c:v>
                </c:pt>
                <c:pt idx="44">
                  <c:v>0.15611804531597109</c:v>
                </c:pt>
                <c:pt idx="45">
                  <c:v>0.14969435996279248</c:v>
                </c:pt>
                <c:pt idx="46">
                  <c:v>0.14353498571748824</c:v>
                </c:pt>
                <c:pt idx="47">
                  <c:v>0.13762904714673543</c:v>
                </c:pt>
                <c:pt idx="48">
                  <c:v>0.13196611630143124</c:v>
                </c:pt>
                <c:pt idx="49">
                  <c:v>0.12653619430435736</c:v>
                </c:pt>
                <c:pt idx="50">
                  <c:v>0.12132969369544465</c:v>
                </c:pt>
                <c:pt idx="51">
                  <c:v>0.11633742150346545</c:v>
                </c:pt>
                <c:pt idx="52">
                  <c:v>0.11155056301426348</c:v>
                </c:pt>
                <c:pt idx="53">
                  <c:v>0.10696066620686187</c:v>
                </c:pt>
                <c:pt idx="54">
                  <c:v>0.10255962682996832</c:v>
                </c:pt>
                <c:pt idx="55">
                  <c:v>9.8339674092526932E-2</c:v>
                </c:pt>
                <c:pt idx="56">
                  <c:v>9.4293356943051951E-2</c:v>
                </c:pt>
                <c:pt idx="57">
                  <c:v>9.0413530913516352E-2</c:v>
                </c:pt>
                <c:pt idx="58">
                  <c:v>8.6693345504566074E-2</c:v>
                </c:pt>
                <c:pt idx="59">
                  <c:v>8.3126232089786686E-2</c:v>
                </c:pt>
                <c:pt idx="60">
                  <c:v>7.9705892317665172E-2</c:v>
                </c:pt>
                <c:pt idx="61">
                  <c:v>7.6426286990768116E-2</c:v>
                </c:pt>
                <c:pt idx="62">
                  <c:v>7.3281625402501355E-2</c:v>
                </c:pt>
                <c:pt idx="63">
                  <c:v>7.0266355112622761E-2</c:v>
                </c:pt>
                <c:pt idx="64">
                  <c:v>6.7375152143455019E-2</c:v>
                </c:pt>
                <c:pt idx="65">
                  <c:v>6.4602911579488526E-2</c:v>
                </c:pt>
                <c:pt idx="66">
                  <c:v>6.1944738553776177E-2</c:v>
                </c:pt>
                <c:pt idx="67">
                  <c:v>5.9395939605204784E-2</c:v>
                </c:pt>
                <c:pt idx="68">
                  <c:v>5.6952014391383234E-2</c:v>
                </c:pt>
                <c:pt idx="69">
                  <c:v>5.4608647742515011E-2</c:v>
                </c:pt>
                <c:pt idx="70">
                  <c:v>5.2361702042224491E-2</c:v>
                </c:pt>
                <c:pt idx="71">
                  <c:v>5.0207209921884495E-2</c:v>
                </c:pt>
                <c:pt idx="72">
                  <c:v>4.814136725554554E-2</c:v>
                </c:pt>
                <c:pt idx="73">
                  <c:v>4.6160526443097816E-2</c:v>
                </c:pt>
              </c:numCache>
            </c:numRef>
          </c:val>
          <c:smooth val="0"/>
        </c:ser>
        <c:dLbls>
          <c:showLegendKey val="0"/>
          <c:showVal val="0"/>
          <c:showCatName val="0"/>
          <c:showSerName val="0"/>
          <c:showPercent val="0"/>
          <c:showBubbleSize val="0"/>
        </c:dLbls>
        <c:marker val="1"/>
        <c:smooth val="0"/>
        <c:axId val="120591872"/>
        <c:axId val="120593408"/>
      </c:lineChart>
      <c:catAx>
        <c:axId val="120591872"/>
        <c:scaling>
          <c:orientation val="minMax"/>
        </c:scaling>
        <c:delete val="0"/>
        <c:axPos val="b"/>
        <c:numFmt formatCode="General" sourceLinked="1"/>
        <c:majorTickMark val="out"/>
        <c:minorTickMark val="none"/>
        <c:tickLblPos val="nextTo"/>
        <c:crossAx val="120593408"/>
        <c:crosses val="autoZero"/>
        <c:auto val="1"/>
        <c:lblAlgn val="ctr"/>
        <c:lblOffset val="100"/>
        <c:noMultiLvlLbl val="0"/>
      </c:catAx>
      <c:valAx>
        <c:axId val="120593408"/>
        <c:scaling>
          <c:orientation val="minMax"/>
          <c:max val="1"/>
        </c:scaling>
        <c:delete val="0"/>
        <c:axPos val="l"/>
        <c:majorGridlines/>
        <c:numFmt formatCode="General" sourceLinked="1"/>
        <c:majorTickMark val="out"/>
        <c:minorTickMark val="none"/>
        <c:tickLblPos val="nextTo"/>
        <c:crossAx val="120591872"/>
        <c:crosses val="autoZero"/>
        <c:crossBetween val="between"/>
      </c:valAx>
    </c:plotArea>
    <c:legend>
      <c:legendPos val="r"/>
      <c:layout/>
      <c:overlay val="0"/>
    </c:legend>
    <c:plotVisOnly val="1"/>
    <c:dispBlanksAs val="gap"/>
    <c:showDLblsOverMax val="0"/>
  </c:chart>
  <c:printSettings>
    <c:headerFooter/>
    <c:pageMargins b="0.75" l="0.7" r="0.7" t="0.75" header="0.3" footer="0.3"/>
    <c:pageSetup/>
  </c:printSettings>
</c:chartSpace>
</file>

<file path=xl/charts/chart148.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pt-PT"/>
              <a:t>Moinho de Carvão 31 - Filtro</a:t>
            </a:r>
          </a:p>
        </c:rich>
      </c:tx>
      <c:layout/>
      <c:overlay val="0"/>
    </c:title>
    <c:autoTitleDeleted val="0"/>
    <c:plotArea>
      <c:layout/>
      <c:lineChart>
        <c:grouping val="standard"/>
        <c:varyColors val="0"/>
        <c:ser>
          <c:idx val="0"/>
          <c:order val="0"/>
          <c:tx>
            <c:v>2010</c:v>
          </c:tx>
          <c:marker>
            <c:symbol val="none"/>
          </c:marker>
          <c:val>
            <c:numRef>
              <c:f>'Comb.fo 31 - Total - Exponencia'!$AN$6:$AN$79</c:f>
              <c:numCache>
                <c:formatCode>General</c:formatCode>
                <c:ptCount val="74"/>
                <c:pt idx="0">
                  <c:v>0.99721836062779279</c:v>
                </c:pt>
                <c:pt idx="1">
                  <c:v>0.98342579696807908</c:v>
                </c:pt>
                <c:pt idx="2">
                  <c:v>0.96982399876136749</c:v>
                </c:pt>
                <c:pt idx="3">
                  <c:v>0.95641032752369259</c:v>
                </c:pt>
                <c:pt idx="4">
                  <c:v>0.94318218126405728</c:v>
                </c:pt>
                <c:pt idx="5">
                  <c:v>0.93013699397969707</c:v>
                </c:pt>
                <c:pt idx="6">
                  <c:v>0.9172722351583259</c:v>
                </c:pt>
                <c:pt idx="7">
                  <c:v>0.9045854092872655</c:v>
                </c:pt>
                <c:pt idx="8">
                  <c:v>0.89207405536936502</c:v>
                </c:pt>
                <c:pt idx="9">
                  <c:v>0.87973574644561525</c:v>
                </c:pt>
                <c:pt idx="10">
                  <c:v>0.867568089124366</c:v>
                </c:pt>
                <c:pt idx="11">
                  <c:v>0.85556872311705456</c:v>
                </c:pt>
                <c:pt idx="12">
                  <c:v>0.84373532078035562</c:v>
                </c:pt>
                <c:pt idx="13">
                  <c:v>0.83206558666466413</c:v>
                </c:pt>
                <c:pt idx="14">
                  <c:v>0.82055725706882254</c:v>
                </c:pt>
                <c:pt idx="15">
                  <c:v>0.80920809960100692</c:v>
                </c:pt>
                <c:pt idx="16">
                  <c:v>0.79801591274568617</c:v>
                </c:pt>
                <c:pt idx="17">
                  <c:v>0.78697852543657143</c:v>
                </c:pt>
                <c:pt idx="18">
                  <c:v>0.77609379663547085</c:v>
                </c:pt>
                <c:pt idx="19">
                  <c:v>0.76535961491697058</c:v>
                </c:pt>
                <c:pt idx="20">
                  <c:v>0.75477389805885875</c:v>
                </c:pt>
                <c:pt idx="21">
                  <c:v>0.74433459263821511</c:v>
                </c:pt>
                <c:pt idx="22">
                  <c:v>0.73403967363308709</c:v>
                </c:pt>
                <c:pt idx="23">
                  <c:v>0.7238871440296748</c:v>
                </c:pt>
                <c:pt idx="24">
                  <c:v>0.7138750344349496</c:v>
                </c:pt>
                <c:pt idx="25">
                  <c:v>0.70400140269462974</c:v>
                </c:pt>
                <c:pt idx="26">
                  <c:v>0.69426433351644024</c:v>
                </c:pt>
                <c:pt idx="27">
                  <c:v>0.68466193809858422</c:v>
                </c:pt>
                <c:pt idx="28">
                  <c:v>0.67519235376335118</c:v>
                </c:pt>
                <c:pt idx="29">
                  <c:v>0.66585374359579441</c:v>
                </c:pt>
                <c:pt idx="30">
                  <c:v>0.65664429608740515</c:v>
                </c:pt>
                <c:pt idx="31">
                  <c:v>0.64756222478471492</c:v>
                </c:pt>
                <c:pt idx="32">
                  <c:v>0.63860576794275881</c:v>
                </c:pt>
                <c:pt idx="33">
                  <c:v>0.62977318818333095</c:v>
                </c:pt>
                <c:pt idx="34">
                  <c:v>0.62106277215796701</c:v>
                </c:pt>
                <c:pt idx="35">
                  <c:v>0.61247283021558807</c:v>
                </c:pt>
                <c:pt idx="36">
                  <c:v>0.60400169607474108</c:v>
                </c:pt>
                <c:pt idx="37">
                  <c:v>0.5956477265003729</c:v>
                </c:pt>
                <c:pt idx="38">
                  <c:v>0.58740930098507438</c:v>
                </c:pt>
                <c:pt idx="39">
                  <c:v>0.57928482143473381</c:v>
                </c:pt>
                <c:pt idx="40">
                  <c:v>0.57127271185853779</c:v>
                </c:pt>
                <c:pt idx="41">
                  <c:v>0.56337141806325919</c:v>
                </c:pt>
                <c:pt idx="42">
                  <c:v>0.5555794073517748</c:v>
                </c:pt>
                <c:pt idx="43">
                  <c:v>0.54789516822575102</c:v>
                </c:pt>
                <c:pt idx="44">
                  <c:v>0.54031721009244316</c:v>
                </c:pt>
                <c:pt idx="45">
                  <c:v>0.53284406297554965</c:v>
                </c:pt>
                <c:pt idx="46">
                  <c:v>0.52547427723006446</c:v>
                </c:pt>
                <c:pt idx="47">
                  <c:v>0.51820642326107513</c:v>
                </c:pt>
                <c:pt idx="48">
                  <c:v>0.51103909124644864</c:v>
                </c:pt>
                <c:pt idx="49">
                  <c:v>0.50397089086335345</c:v>
                </c:pt>
                <c:pt idx="50">
                  <c:v>0.4970004510185641</c:v>
                </c:pt>
                <c:pt idx="51">
                  <c:v>0.49012641958249575</c:v>
                </c:pt>
                <c:pt idx="52">
                  <c:v>0.48334746312691729</c:v>
                </c:pt>
                <c:pt idx="53">
                  <c:v>0.47666226666629236</c:v>
                </c:pt>
                <c:pt idx="54">
                  <c:v>0.47006953340269758</c:v>
                </c:pt>
                <c:pt idx="55">
                  <c:v>0.46356798447426928</c:v>
                </c:pt>
                <c:pt idx="56">
                  <c:v>0.45715635870712901</c:v>
                </c:pt>
                <c:pt idx="57">
                  <c:v>0.45083341237074037</c:v>
                </c:pt>
                <c:pt idx="58">
                  <c:v>0.44459791893664952</c:v>
                </c:pt>
                <c:pt idx="59">
                  <c:v>0.43844866884056272</c:v>
                </c:pt>
                <c:pt idx="60">
                  <c:v>0.43238446924771412</c:v>
                </c:pt>
                <c:pt idx="61">
                  <c:v>0.42640414382147923</c:v>
                </c:pt>
                <c:pt idx="62">
                  <c:v>0.42050653249518855</c:v>
                </c:pt>
                <c:pt idx="63">
                  <c:v>0.41469049124709711</c:v>
                </c:pt>
                <c:pt idx="64">
                  <c:v>0.40895489187846656</c:v>
                </c:pt>
                <c:pt idx="65">
                  <c:v>0.40329862179471665</c:v>
                </c:pt>
                <c:pt idx="66">
                  <c:v>0.39772058378960357</c:v>
                </c:pt>
                <c:pt idx="67">
                  <c:v>0.39221969583238303</c:v>
                </c:pt>
                <c:pt idx="68">
                  <c:v>0.38679489085791779</c:v>
                </c:pt>
                <c:pt idx="69">
                  <c:v>0.38144511655968755</c:v>
                </c:pt>
                <c:pt idx="70">
                  <c:v>0.37616933518566198</c:v>
                </c:pt>
                <c:pt idx="71">
                  <c:v>0.37096652333699709</c:v>
                </c:pt>
                <c:pt idx="72">
                  <c:v>0.36583567176951587</c:v>
                </c:pt>
                <c:pt idx="73">
                  <c:v>0.36077578519793424</c:v>
                </c:pt>
              </c:numCache>
            </c:numRef>
          </c:val>
          <c:smooth val="0"/>
        </c:ser>
        <c:ser>
          <c:idx val="1"/>
          <c:order val="1"/>
          <c:tx>
            <c:v>2011</c:v>
          </c:tx>
          <c:marker>
            <c:symbol val="none"/>
          </c:marker>
          <c:val>
            <c:numRef>
              <c:f>'Comb.fo 31 - Total - Exponencia'!$AO$6:$AO$79</c:f>
              <c:numCache>
                <c:formatCode>General</c:formatCode>
                <c:ptCount val="74"/>
                <c:pt idx="0">
                  <c:v>0.99721836062779279</c:v>
                </c:pt>
                <c:pt idx="1">
                  <c:v>0.98342579696807908</c:v>
                </c:pt>
                <c:pt idx="2">
                  <c:v>0.96982399876136749</c:v>
                </c:pt>
                <c:pt idx="3">
                  <c:v>0.95641032752369259</c:v>
                </c:pt>
                <c:pt idx="4">
                  <c:v>0.94318218126405728</c:v>
                </c:pt>
                <c:pt idx="5">
                  <c:v>0.93013699397969707</c:v>
                </c:pt>
                <c:pt idx="6">
                  <c:v>0.9172722351583259</c:v>
                </c:pt>
                <c:pt idx="7">
                  <c:v>0.9045854092872655</c:v>
                </c:pt>
                <c:pt idx="8">
                  <c:v>0.89207405536936502</c:v>
                </c:pt>
                <c:pt idx="9">
                  <c:v>0.87973574644561525</c:v>
                </c:pt>
                <c:pt idx="10">
                  <c:v>0.867568089124366</c:v>
                </c:pt>
                <c:pt idx="11">
                  <c:v>0.85556872311705456</c:v>
                </c:pt>
                <c:pt idx="12">
                  <c:v>0.84373532078035562</c:v>
                </c:pt>
                <c:pt idx="13">
                  <c:v>0.83206558666466413</c:v>
                </c:pt>
                <c:pt idx="14">
                  <c:v>0.82055725706882254</c:v>
                </c:pt>
                <c:pt idx="15">
                  <c:v>0.80920809960100692</c:v>
                </c:pt>
                <c:pt idx="16">
                  <c:v>0.79801591274568617</c:v>
                </c:pt>
                <c:pt idx="17">
                  <c:v>0.78697852543657143</c:v>
                </c:pt>
                <c:pt idx="18">
                  <c:v>0.77609379663547085</c:v>
                </c:pt>
                <c:pt idx="19">
                  <c:v>0.76535961491697058</c:v>
                </c:pt>
                <c:pt idx="20">
                  <c:v>0.75477389805885875</c:v>
                </c:pt>
                <c:pt idx="21">
                  <c:v>0.74433459263821511</c:v>
                </c:pt>
                <c:pt idx="22">
                  <c:v>0.73403967363308709</c:v>
                </c:pt>
                <c:pt idx="23">
                  <c:v>0.7238871440296748</c:v>
                </c:pt>
                <c:pt idx="24">
                  <c:v>0.7138750344349496</c:v>
                </c:pt>
                <c:pt idx="25">
                  <c:v>0.70400140269462974</c:v>
                </c:pt>
                <c:pt idx="26">
                  <c:v>0.69426433351644024</c:v>
                </c:pt>
                <c:pt idx="27">
                  <c:v>0.68466193809858422</c:v>
                </c:pt>
                <c:pt idx="28">
                  <c:v>0.67519235376335118</c:v>
                </c:pt>
                <c:pt idx="29">
                  <c:v>0.66585374359579441</c:v>
                </c:pt>
                <c:pt idx="30">
                  <c:v>0.65664429608740515</c:v>
                </c:pt>
                <c:pt idx="31">
                  <c:v>0.64756222478471492</c:v>
                </c:pt>
                <c:pt idx="32">
                  <c:v>0.63860576794275881</c:v>
                </c:pt>
                <c:pt idx="33">
                  <c:v>0.62977318818333095</c:v>
                </c:pt>
                <c:pt idx="34">
                  <c:v>0.62106277215796701</c:v>
                </c:pt>
                <c:pt idx="35">
                  <c:v>0.61247283021558807</c:v>
                </c:pt>
                <c:pt idx="36">
                  <c:v>0.60400169607474108</c:v>
                </c:pt>
                <c:pt idx="37">
                  <c:v>0.5956477265003729</c:v>
                </c:pt>
                <c:pt idx="38">
                  <c:v>0.58740930098507438</c:v>
                </c:pt>
                <c:pt idx="39">
                  <c:v>0.57928482143473381</c:v>
                </c:pt>
                <c:pt idx="40">
                  <c:v>0.57127271185853779</c:v>
                </c:pt>
                <c:pt idx="41">
                  <c:v>0.56337141806325919</c:v>
                </c:pt>
                <c:pt idx="42">
                  <c:v>0.5555794073517748</c:v>
                </c:pt>
                <c:pt idx="43">
                  <c:v>0.54789516822575102</c:v>
                </c:pt>
                <c:pt idx="44">
                  <c:v>0.54031721009244316</c:v>
                </c:pt>
                <c:pt idx="45">
                  <c:v>0.53284406297554965</c:v>
                </c:pt>
                <c:pt idx="46">
                  <c:v>0.52547427723006446</c:v>
                </c:pt>
                <c:pt idx="47">
                  <c:v>0.51820642326107513</c:v>
                </c:pt>
                <c:pt idx="48">
                  <c:v>0.51103909124644864</c:v>
                </c:pt>
                <c:pt idx="49">
                  <c:v>0.50397089086335345</c:v>
                </c:pt>
                <c:pt idx="50">
                  <c:v>0.4970004510185641</c:v>
                </c:pt>
                <c:pt idx="51">
                  <c:v>0.49012641958249575</c:v>
                </c:pt>
                <c:pt idx="52">
                  <c:v>0.48334746312691729</c:v>
                </c:pt>
                <c:pt idx="53">
                  <c:v>0.47666226666629236</c:v>
                </c:pt>
                <c:pt idx="54">
                  <c:v>0.47006953340269758</c:v>
                </c:pt>
                <c:pt idx="55">
                  <c:v>0.46356798447426928</c:v>
                </c:pt>
                <c:pt idx="56">
                  <c:v>0.45715635870712901</c:v>
                </c:pt>
                <c:pt idx="57">
                  <c:v>0.45083341237074037</c:v>
                </c:pt>
                <c:pt idx="58">
                  <c:v>0.44459791893664952</c:v>
                </c:pt>
                <c:pt idx="59">
                  <c:v>0.43844866884056272</c:v>
                </c:pt>
                <c:pt idx="60">
                  <c:v>0.43238446924771412</c:v>
                </c:pt>
                <c:pt idx="61">
                  <c:v>0.42640414382147923</c:v>
                </c:pt>
                <c:pt idx="62">
                  <c:v>0.42050653249518855</c:v>
                </c:pt>
                <c:pt idx="63">
                  <c:v>0.41469049124709711</c:v>
                </c:pt>
                <c:pt idx="64">
                  <c:v>0.40895489187846656</c:v>
                </c:pt>
                <c:pt idx="65">
                  <c:v>0.40329862179471665</c:v>
                </c:pt>
                <c:pt idx="66">
                  <c:v>0.39772058378960357</c:v>
                </c:pt>
                <c:pt idx="67">
                  <c:v>0.39221969583238303</c:v>
                </c:pt>
                <c:pt idx="68">
                  <c:v>0.38679489085791779</c:v>
                </c:pt>
                <c:pt idx="69">
                  <c:v>0.38144511655968755</c:v>
                </c:pt>
                <c:pt idx="70">
                  <c:v>0.37616933518566198</c:v>
                </c:pt>
                <c:pt idx="71">
                  <c:v>0.37096652333699709</c:v>
                </c:pt>
                <c:pt idx="72">
                  <c:v>0.36583567176951587</c:v>
                </c:pt>
                <c:pt idx="73">
                  <c:v>0.36077578519793424</c:v>
                </c:pt>
              </c:numCache>
            </c:numRef>
          </c:val>
          <c:smooth val="0"/>
        </c:ser>
        <c:ser>
          <c:idx val="2"/>
          <c:order val="2"/>
          <c:tx>
            <c:v>2013</c:v>
          </c:tx>
          <c:marker>
            <c:symbol val="none"/>
          </c:marker>
          <c:val>
            <c:numRef>
              <c:f>'Comb.fo 31 - Total - Exponencia'!$AP$6:$AP$79</c:f>
              <c:numCache>
                <c:formatCode>General</c:formatCode>
                <c:ptCount val="74"/>
                <c:pt idx="0">
                  <c:v>0.99721836062779279</c:v>
                </c:pt>
                <c:pt idx="1">
                  <c:v>0.98342579696807908</c:v>
                </c:pt>
                <c:pt idx="2">
                  <c:v>0.96982399876136749</c:v>
                </c:pt>
                <c:pt idx="3">
                  <c:v>0.95641032752369259</c:v>
                </c:pt>
                <c:pt idx="4">
                  <c:v>0.94318218126405728</c:v>
                </c:pt>
                <c:pt idx="5">
                  <c:v>0.93013699397969707</c:v>
                </c:pt>
                <c:pt idx="6">
                  <c:v>0.9172722351583259</c:v>
                </c:pt>
                <c:pt idx="7">
                  <c:v>0.9045854092872655</c:v>
                </c:pt>
                <c:pt idx="8">
                  <c:v>0.89207405536936502</c:v>
                </c:pt>
                <c:pt idx="9">
                  <c:v>0.87973574644561525</c:v>
                </c:pt>
                <c:pt idx="10">
                  <c:v>0.867568089124366</c:v>
                </c:pt>
                <c:pt idx="11">
                  <c:v>0.85556872311705456</c:v>
                </c:pt>
                <c:pt idx="12">
                  <c:v>0.84373532078035562</c:v>
                </c:pt>
                <c:pt idx="13">
                  <c:v>0.83206558666466413</c:v>
                </c:pt>
                <c:pt idx="14">
                  <c:v>0.82055725706882254</c:v>
                </c:pt>
                <c:pt idx="15">
                  <c:v>0.80920809960100692</c:v>
                </c:pt>
                <c:pt idx="16">
                  <c:v>0.79801591274568617</c:v>
                </c:pt>
                <c:pt idx="17">
                  <c:v>0.78697852543657143</c:v>
                </c:pt>
                <c:pt idx="18">
                  <c:v>0.77609379663547085</c:v>
                </c:pt>
                <c:pt idx="19">
                  <c:v>0.76535961491697058</c:v>
                </c:pt>
                <c:pt idx="20">
                  <c:v>0.75477389805885875</c:v>
                </c:pt>
                <c:pt idx="21">
                  <c:v>0.74433459263821511</c:v>
                </c:pt>
                <c:pt idx="22">
                  <c:v>0.73403967363308709</c:v>
                </c:pt>
                <c:pt idx="23">
                  <c:v>0.7238871440296748</c:v>
                </c:pt>
                <c:pt idx="24">
                  <c:v>0.7138750344349496</c:v>
                </c:pt>
                <c:pt idx="25">
                  <c:v>0.70400140269462974</c:v>
                </c:pt>
                <c:pt idx="26">
                  <c:v>0.69426433351644024</c:v>
                </c:pt>
                <c:pt idx="27">
                  <c:v>0.68466193809858422</c:v>
                </c:pt>
                <c:pt idx="28">
                  <c:v>0.67519235376335118</c:v>
                </c:pt>
                <c:pt idx="29">
                  <c:v>0.66585374359579441</c:v>
                </c:pt>
                <c:pt idx="30">
                  <c:v>0.65664429608740515</c:v>
                </c:pt>
                <c:pt idx="31">
                  <c:v>0.64756222478471492</c:v>
                </c:pt>
                <c:pt idx="32">
                  <c:v>0.63860576794275881</c:v>
                </c:pt>
                <c:pt idx="33">
                  <c:v>0.62977318818333095</c:v>
                </c:pt>
                <c:pt idx="34">
                  <c:v>0.62106277215796701</c:v>
                </c:pt>
                <c:pt idx="35">
                  <c:v>0.61247283021558807</c:v>
                </c:pt>
                <c:pt idx="36">
                  <c:v>0.60400169607474108</c:v>
                </c:pt>
                <c:pt idx="37">
                  <c:v>0.5956477265003729</c:v>
                </c:pt>
                <c:pt idx="38">
                  <c:v>0.58740930098507438</c:v>
                </c:pt>
                <c:pt idx="39">
                  <c:v>0.57928482143473381</c:v>
                </c:pt>
                <c:pt idx="40">
                  <c:v>0.57127271185853779</c:v>
                </c:pt>
                <c:pt idx="41">
                  <c:v>0.56337141806325919</c:v>
                </c:pt>
                <c:pt idx="42">
                  <c:v>0.5555794073517748</c:v>
                </c:pt>
                <c:pt idx="43">
                  <c:v>0.54789516822575102</c:v>
                </c:pt>
                <c:pt idx="44">
                  <c:v>0.54031721009244316</c:v>
                </c:pt>
                <c:pt idx="45">
                  <c:v>0.53284406297554965</c:v>
                </c:pt>
                <c:pt idx="46">
                  <c:v>0.52547427723006446</c:v>
                </c:pt>
                <c:pt idx="47">
                  <c:v>0.51820642326107513</c:v>
                </c:pt>
                <c:pt idx="48">
                  <c:v>0.51103909124644864</c:v>
                </c:pt>
                <c:pt idx="49">
                  <c:v>0.50397089086335345</c:v>
                </c:pt>
                <c:pt idx="50">
                  <c:v>0.4970004510185641</c:v>
                </c:pt>
                <c:pt idx="51">
                  <c:v>0.49012641958249575</c:v>
                </c:pt>
                <c:pt idx="52">
                  <c:v>0.48334746312691729</c:v>
                </c:pt>
                <c:pt idx="53">
                  <c:v>0.47666226666629236</c:v>
                </c:pt>
                <c:pt idx="54">
                  <c:v>0.47006953340269758</c:v>
                </c:pt>
                <c:pt idx="55">
                  <c:v>0.46356798447426928</c:v>
                </c:pt>
                <c:pt idx="56">
                  <c:v>0.45715635870712901</c:v>
                </c:pt>
                <c:pt idx="57">
                  <c:v>0.45083341237074037</c:v>
                </c:pt>
                <c:pt idx="58">
                  <c:v>0.44459791893664952</c:v>
                </c:pt>
                <c:pt idx="59">
                  <c:v>0.43844866884056272</c:v>
                </c:pt>
                <c:pt idx="60">
                  <c:v>0.43238446924771412</c:v>
                </c:pt>
                <c:pt idx="61">
                  <c:v>0.42640414382147923</c:v>
                </c:pt>
                <c:pt idx="62">
                  <c:v>0.42050653249518855</c:v>
                </c:pt>
                <c:pt idx="63">
                  <c:v>0.41469049124709711</c:v>
                </c:pt>
                <c:pt idx="64">
                  <c:v>0.40895489187846656</c:v>
                </c:pt>
                <c:pt idx="65">
                  <c:v>0.40329862179471665</c:v>
                </c:pt>
                <c:pt idx="66">
                  <c:v>0.39772058378960357</c:v>
                </c:pt>
                <c:pt idx="67">
                  <c:v>0.39221969583238303</c:v>
                </c:pt>
                <c:pt idx="68">
                  <c:v>0.38679489085791779</c:v>
                </c:pt>
                <c:pt idx="69">
                  <c:v>0.38144511655968755</c:v>
                </c:pt>
                <c:pt idx="70">
                  <c:v>0.37616933518566198</c:v>
                </c:pt>
                <c:pt idx="71">
                  <c:v>0.37096652333699709</c:v>
                </c:pt>
                <c:pt idx="72">
                  <c:v>0.36583567176951587</c:v>
                </c:pt>
                <c:pt idx="73">
                  <c:v>0.36077578519793424</c:v>
                </c:pt>
              </c:numCache>
            </c:numRef>
          </c:val>
          <c:smooth val="0"/>
        </c:ser>
        <c:dLbls>
          <c:showLegendKey val="0"/>
          <c:showVal val="0"/>
          <c:showCatName val="0"/>
          <c:showSerName val="0"/>
          <c:showPercent val="0"/>
          <c:showBubbleSize val="0"/>
        </c:dLbls>
        <c:marker val="1"/>
        <c:smooth val="0"/>
        <c:axId val="120636160"/>
        <c:axId val="120637696"/>
      </c:lineChart>
      <c:catAx>
        <c:axId val="120636160"/>
        <c:scaling>
          <c:orientation val="minMax"/>
        </c:scaling>
        <c:delete val="0"/>
        <c:axPos val="b"/>
        <c:numFmt formatCode="General" sourceLinked="1"/>
        <c:majorTickMark val="out"/>
        <c:minorTickMark val="none"/>
        <c:tickLblPos val="nextTo"/>
        <c:crossAx val="120637696"/>
        <c:crosses val="autoZero"/>
        <c:auto val="1"/>
        <c:lblAlgn val="ctr"/>
        <c:lblOffset val="100"/>
        <c:noMultiLvlLbl val="0"/>
      </c:catAx>
      <c:valAx>
        <c:axId val="120637696"/>
        <c:scaling>
          <c:orientation val="minMax"/>
          <c:max val="1"/>
        </c:scaling>
        <c:delete val="0"/>
        <c:axPos val="l"/>
        <c:majorGridlines/>
        <c:numFmt formatCode="General" sourceLinked="1"/>
        <c:majorTickMark val="out"/>
        <c:minorTickMark val="none"/>
        <c:tickLblPos val="nextTo"/>
        <c:crossAx val="120636160"/>
        <c:crosses val="autoZero"/>
        <c:crossBetween val="between"/>
      </c:valAx>
    </c:plotArea>
    <c:legend>
      <c:legendPos val="r"/>
      <c:layout/>
      <c:overlay val="0"/>
    </c:legend>
    <c:plotVisOnly val="1"/>
    <c:dispBlanksAs val="gap"/>
    <c:showDLblsOverMax val="0"/>
  </c:chart>
  <c:printSettings>
    <c:headerFooter/>
    <c:pageMargins b="0.75" l="0.7" r="0.7" t="0.75" header="0.3" footer="0.3"/>
    <c:pageSetup/>
  </c:printSettings>
</c:chartSpace>
</file>

<file path=xl/charts/chart149.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marker>
            <c:symbol val="none"/>
          </c:marker>
          <c:cat>
            <c:numRef>
              <c:f>'Comb.fo 31 - Total - Weibull'!$X$7:$X$38</c:f>
              <c:numCache>
                <c:formatCode>General</c:formatCode>
                <c:ptCount val="32"/>
                <c:pt idx="0">
                  <c:v>0</c:v>
                </c:pt>
                <c:pt idx="1">
                  <c:v>10</c:v>
                </c:pt>
                <c:pt idx="2">
                  <c:v>20</c:v>
                </c:pt>
                <c:pt idx="3">
                  <c:v>30</c:v>
                </c:pt>
                <c:pt idx="4">
                  <c:v>40</c:v>
                </c:pt>
                <c:pt idx="5">
                  <c:v>50</c:v>
                </c:pt>
                <c:pt idx="6">
                  <c:v>60</c:v>
                </c:pt>
                <c:pt idx="7">
                  <c:v>70</c:v>
                </c:pt>
                <c:pt idx="8">
                  <c:v>80</c:v>
                </c:pt>
                <c:pt idx="9">
                  <c:v>90</c:v>
                </c:pt>
                <c:pt idx="10">
                  <c:v>100</c:v>
                </c:pt>
                <c:pt idx="11">
                  <c:v>110</c:v>
                </c:pt>
                <c:pt idx="12">
                  <c:v>120</c:v>
                </c:pt>
                <c:pt idx="13">
                  <c:v>130</c:v>
                </c:pt>
                <c:pt idx="14">
                  <c:v>140</c:v>
                </c:pt>
                <c:pt idx="15">
                  <c:v>150</c:v>
                </c:pt>
                <c:pt idx="16">
                  <c:v>160</c:v>
                </c:pt>
                <c:pt idx="17">
                  <c:v>170</c:v>
                </c:pt>
                <c:pt idx="18">
                  <c:v>180</c:v>
                </c:pt>
                <c:pt idx="19">
                  <c:v>190</c:v>
                </c:pt>
                <c:pt idx="20">
                  <c:v>200</c:v>
                </c:pt>
                <c:pt idx="21">
                  <c:v>210</c:v>
                </c:pt>
                <c:pt idx="22">
                  <c:v>220</c:v>
                </c:pt>
                <c:pt idx="23">
                  <c:v>230</c:v>
                </c:pt>
                <c:pt idx="24">
                  <c:v>240</c:v>
                </c:pt>
                <c:pt idx="25">
                  <c:v>250</c:v>
                </c:pt>
                <c:pt idx="26">
                  <c:v>260</c:v>
                </c:pt>
                <c:pt idx="27">
                  <c:v>270</c:v>
                </c:pt>
                <c:pt idx="28">
                  <c:v>280</c:v>
                </c:pt>
                <c:pt idx="29">
                  <c:v>290</c:v>
                </c:pt>
                <c:pt idx="30">
                  <c:v>300</c:v>
                </c:pt>
                <c:pt idx="31">
                  <c:v>310</c:v>
                </c:pt>
              </c:numCache>
            </c:numRef>
          </c:cat>
          <c:val>
            <c:numRef>
              <c:f>'Comb.fo 31 - Total - Weibull'!$Y$7:$Y$38</c:f>
              <c:numCache>
                <c:formatCode>General</c:formatCode>
                <c:ptCount val="32"/>
                <c:pt idx="0">
                  <c:v>1</c:v>
                </c:pt>
                <c:pt idx="1">
                  <c:v>0.97543052648539685</c:v>
                </c:pt>
                <c:pt idx="2">
                  <c:v>0.94510712156855003</c:v>
                </c:pt>
                <c:pt idx="3">
                  <c:v>0.91284864790786158</c:v>
                </c:pt>
                <c:pt idx="4">
                  <c:v>0.87973944323544306</c:v>
                </c:pt>
                <c:pt idx="5">
                  <c:v>0.84635671394540901</c:v>
                </c:pt>
                <c:pt idx="6">
                  <c:v>0.81306410268649287</c:v>
                </c:pt>
                <c:pt idx="7">
                  <c:v>0.78011011125183394</c:v>
                </c:pt>
                <c:pt idx="8">
                  <c:v>0.74767217098040184</c:v>
                </c:pt>
                <c:pt idx="9">
                  <c:v>0.71587992301904957</c:v>
                </c:pt>
                <c:pt idx="10">
                  <c:v>0.684828944943222</c:v>
                </c:pt>
                <c:pt idx="11">
                  <c:v>0.65458951028143786</c:v>
                </c:pt>
                <c:pt idx="12">
                  <c:v>0.62521252205058786</c:v>
                </c:pt>
                <c:pt idx="13">
                  <c:v>0.5967337231484473</c:v>
                </c:pt>
                <c:pt idx="14">
                  <c:v>0.56917679641866059</c:v>
                </c:pt>
                <c:pt idx="15">
                  <c:v>0.5425557161896849</c:v>
                </c:pt>
                <c:pt idx="16">
                  <c:v>0.51687657579817614</c:v>
                </c:pt>
                <c:pt idx="17">
                  <c:v>0.49213903635984263</c:v>
                </c:pt>
                <c:pt idx="18">
                  <c:v>0.46833749419235482</c:v>
                </c:pt>
                <c:pt idx="19">
                  <c:v>0.44546203425623809</c:v>
                </c:pt>
                <c:pt idx="20">
                  <c:v>0.4234992174858857</c:v>
                </c:pt>
                <c:pt idx="21">
                  <c:v>0.40243273685687087</c:v>
                </c:pt>
                <c:pt idx="22">
                  <c:v>0.38224396810342537</c:v>
                </c:pt>
                <c:pt idx="23">
                  <c:v>0.36291243473143298</c:v>
                </c:pt>
                <c:pt idx="24">
                  <c:v>0.34441620248050431</c:v>
                </c:pt>
                <c:pt idx="25">
                  <c:v>0.32673221510859513</c:v>
                </c:pt>
                <c:pt idx="26">
                  <c:v>0.30983658093559291</c:v>
                </c:pt>
                <c:pt idx="27">
                  <c:v>0.29370481774267393</c:v>
                </c:pt>
                <c:pt idx="28">
                  <c:v>0.27831206221511384</c:v>
                </c:pt>
                <c:pt idx="29">
                  <c:v>0.26363324902212654</c:v>
                </c:pt>
                <c:pt idx="30">
                  <c:v>0.24964326376705351</c:v>
                </c:pt>
                <c:pt idx="31">
                  <c:v>0.23631707335686813</c:v>
                </c:pt>
              </c:numCache>
            </c:numRef>
          </c:val>
          <c:smooth val="0"/>
        </c:ser>
        <c:dLbls>
          <c:showLegendKey val="0"/>
          <c:showVal val="0"/>
          <c:showCatName val="0"/>
          <c:showSerName val="0"/>
          <c:showPercent val="0"/>
          <c:showBubbleSize val="0"/>
        </c:dLbls>
        <c:marker val="1"/>
        <c:smooth val="0"/>
        <c:axId val="120724480"/>
        <c:axId val="120759040"/>
      </c:lineChart>
      <c:catAx>
        <c:axId val="120724480"/>
        <c:scaling>
          <c:orientation val="minMax"/>
        </c:scaling>
        <c:delete val="0"/>
        <c:axPos val="b"/>
        <c:numFmt formatCode="General" sourceLinked="1"/>
        <c:majorTickMark val="out"/>
        <c:minorTickMark val="none"/>
        <c:tickLblPos val="nextTo"/>
        <c:crossAx val="120759040"/>
        <c:crosses val="autoZero"/>
        <c:auto val="1"/>
        <c:lblAlgn val="ctr"/>
        <c:lblOffset val="100"/>
        <c:noMultiLvlLbl val="0"/>
      </c:catAx>
      <c:valAx>
        <c:axId val="120759040"/>
        <c:scaling>
          <c:orientation val="minMax"/>
        </c:scaling>
        <c:delete val="0"/>
        <c:axPos val="l"/>
        <c:majorGridlines/>
        <c:numFmt formatCode="General" sourceLinked="1"/>
        <c:majorTickMark val="out"/>
        <c:minorTickMark val="none"/>
        <c:tickLblPos val="nextTo"/>
        <c:crossAx val="120724480"/>
        <c:crosses val="autoZero"/>
        <c:crossBetween val="between"/>
      </c:valAx>
    </c:plotArea>
    <c:plotVisOnly val="1"/>
    <c:dispBlanksAs val="gap"/>
    <c:showDLblsOverMax val="0"/>
  </c:chart>
  <c:printSettings>
    <c:headerFooter/>
    <c:pageMargins b="0.75" l="0.7" r="0.7" t="0.75" header="0.3" footer="0.3"/>
    <c:pageSetup/>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42"/>
    </mc:Choice>
    <mc:Fallback>
      <c:style val="42"/>
    </mc:Fallback>
  </mc:AlternateContent>
  <c:chart>
    <c:title>
      <c:tx>
        <c:rich>
          <a:bodyPr/>
          <a:lstStyle/>
          <a:p>
            <a:pPr>
              <a:defRPr/>
            </a:pPr>
            <a:r>
              <a:rPr lang="en-US"/>
              <a:t>Urb. - Serra de Lagares</a:t>
            </a:r>
          </a:p>
        </c:rich>
      </c:tx>
      <c:layout/>
      <c:overlay val="0"/>
    </c:title>
    <c:autoTitleDeleted val="0"/>
    <c:plotArea>
      <c:layout>
        <c:manualLayout>
          <c:layoutTarget val="inner"/>
          <c:xMode val="edge"/>
          <c:yMode val="edge"/>
          <c:x val="2.4691358024691357E-2"/>
          <c:y val="0.32444484748597435"/>
          <c:w val="0.95286195286195285"/>
          <c:h val="0.55961308824621336"/>
        </c:manualLayout>
      </c:layout>
      <c:barChart>
        <c:barDir val="bar"/>
        <c:grouping val="stacked"/>
        <c:varyColors val="0"/>
        <c:ser>
          <c:idx val="0"/>
          <c:order val="0"/>
          <c:invertIfNegative val="0"/>
          <c:dLbls>
            <c:showLegendKey val="0"/>
            <c:showVal val="1"/>
            <c:showCatName val="0"/>
            <c:showSerName val="0"/>
            <c:showPercent val="0"/>
            <c:showBubbleSize val="0"/>
            <c:showLeaderLines val="0"/>
          </c:dLbls>
          <c:val>
            <c:numRef>
              <c:f>'2015 - Ciclo de Operação'!$B$32</c:f>
              <c:numCache>
                <c:formatCode>General</c:formatCode>
                <c:ptCount val="1"/>
                <c:pt idx="0">
                  <c:v>960</c:v>
                </c:pt>
              </c:numCache>
            </c:numRef>
          </c:val>
        </c:ser>
        <c:ser>
          <c:idx val="1"/>
          <c:order val="1"/>
          <c:invertIfNegative val="0"/>
          <c:dLbls>
            <c:dLbl>
              <c:idx val="0"/>
              <c:layout>
                <c:manualLayout>
                  <c:x val="0"/>
                  <c:y val="-0.16809938199110536"/>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'2015 - Ciclo de Operação'!$I$32</c:f>
              <c:numCache>
                <c:formatCode>General</c:formatCode>
                <c:ptCount val="1"/>
                <c:pt idx="0">
                  <c:v>0.75</c:v>
                </c:pt>
              </c:numCache>
            </c:numRef>
          </c:val>
        </c:ser>
        <c:ser>
          <c:idx val="2"/>
          <c:order val="2"/>
          <c:invertIfNegative val="0"/>
          <c:dLbls>
            <c:showLegendKey val="0"/>
            <c:showVal val="1"/>
            <c:showCatName val="0"/>
            <c:showSerName val="0"/>
            <c:showPercent val="0"/>
            <c:showBubbleSize val="0"/>
            <c:showLeaderLines val="0"/>
          </c:dLbls>
          <c:val>
            <c:numRef>
              <c:f>'2015 - Ciclo de Operação'!$B$33</c:f>
              <c:numCache>
                <c:formatCode>General</c:formatCode>
                <c:ptCount val="1"/>
                <c:pt idx="0">
                  <c:v>4176</c:v>
                </c:pt>
              </c:numCache>
            </c:numRef>
          </c:val>
        </c:ser>
        <c:ser>
          <c:idx val="3"/>
          <c:order val="3"/>
          <c:invertIfNegative val="0"/>
          <c:dLbls>
            <c:dLbl>
              <c:idx val="0"/>
              <c:layout>
                <c:manualLayout>
                  <c:x val="0"/>
                  <c:y val="-0.16809938199110536"/>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'2015 - Ciclo de Operação'!$I$33</c:f>
              <c:numCache>
                <c:formatCode>General</c:formatCode>
                <c:ptCount val="1"/>
                <c:pt idx="0">
                  <c:v>21</c:v>
                </c:pt>
              </c:numCache>
            </c:numRef>
          </c:val>
        </c:ser>
        <c:ser>
          <c:idx val="4"/>
          <c:order val="4"/>
          <c:invertIfNegative val="0"/>
          <c:dLbls>
            <c:showLegendKey val="0"/>
            <c:showVal val="1"/>
            <c:showCatName val="0"/>
            <c:showSerName val="0"/>
            <c:showPercent val="0"/>
            <c:showBubbleSize val="0"/>
            <c:showLeaderLines val="0"/>
          </c:dLbls>
          <c:val>
            <c:numRef>
              <c:f>'2015 - Ciclo de Operação'!$B$34</c:f>
              <c:numCache>
                <c:formatCode>General</c:formatCode>
                <c:ptCount val="1"/>
                <c:pt idx="0">
                  <c:v>3504</c:v>
                </c:pt>
              </c:numCache>
            </c:numRef>
          </c:val>
        </c:ser>
        <c:dLbls>
          <c:showLegendKey val="0"/>
          <c:showVal val="0"/>
          <c:showCatName val="0"/>
          <c:showSerName val="0"/>
          <c:showPercent val="0"/>
          <c:showBubbleSize val="0"/>
        </c:dLbls>
        <c:gapWidth val="150"/>
        <c:overlap val="100"/>
        <c:axId val="109460096"/>
        <c:axId val="109482368"/>
      </c:barChart>
      <c:catAx>
        <c:axId val="109460096"/>
        <c:scaling>
          <c:orientation val="minMax"/>
        </c:scaling>
        <c:delete val="1"/>
        <c:axPos val="l"/>
        <c:majorTickMark val="out"/>
        <c:minorTickMark val="none"/>
        <c:tickLblPos val="nextTo"/>
        <c:crossAx val="109482368"/>
        <c:crosses val="autoZero"/>
        <c:auto val="1"/>
        <c:lblAlgn val="ctr"/>
        <c:lblOffset val="100"/>
        <c:noMultiLvlLbl val="0"/>
      </c:catAx>
      <c:valAx>
        <c:axId val="109482368"/>
        <c:scaling>
          <c:orientation val="minMax"/>
        </c:scaling>
        <c:delete val="1"/>
        <c:axPos val="b"/>
        <c:numFmt formatCode="General" sourceLinked="1"/>
        <c:majorTickMark val="out"/>
        <c:minorTickMark val="none"/>
        <c:tickLblPos val="nextTo"/>
        <c:crossAx val="109460096"/>
        <c:crosses val="autoZero"/>
        <c:crossBetween val="between"/>
      </c:valAx>
      <c:spPr>
        <a:noFill/>
        <a:ln w="25400">
          <a:noFill/>
        </a:ln>
      </c:spPr>
    </c:plotArea>
    <c:plotVisOnly val="1"/>
    <c:dispBlanksAs val="gap"/>
    <c:showDLblsOverMax val="0"/>
  </c:chart>
  <c:printSettings>
    <c:headerFooter/>
    <c:pageMargins b="0.75" l="0.7" r="0.7" t="0.75" header="0.3" footer="0.3"/>
    <c:pageSetup/>
  </c:printSettings>
  <c:userShapes r:id="rId1"/>
</c:chartSpace>
</file>

<file path=xl/charts/chart150.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marker>
            <c:symbol val="none"/>
          </c:marker>
          <c:cat>
            <c:numRef>
              <c:f>'Comb.fo 31 - Total - Weibull'!$AZ$7:$AZ$38</c:f>
              <c:numCache>
                <c:formatCode>General</c:formatCode>
                <c:ptCount val="32"/>
                <c:pt idx="0">
                  <c:v>0</c:v>
                </c:pt>
                <c:pt idx="1">
                  <c:v>10</c:v>
                </c:pt>
                <c:pt idx="2">
                  <c:v>20</c:v>
                </c:pt>
                <c:pt idx="3">
                  <c:v>30</c:v>
                </c:pt>
                <c:pt idx="4">
                  <c:v>40</c:v>
                </c:pt>
                <c:pt idx="5">
                  <c:v>50</c:v>
                </c:pt>
                <c:pt idx="6">
                  <c:v>60</c:v>
                </c:pt>
                <c:pt idx="7">
                  <c:v>70</c:v>
                </c:pt>
                <c:pt idx="8">
                  <c:v>80</c:v>
                </c:pt>
                <c:pt idx="9">
                  <c:v>90</c:v>
                </c:pt>
                <c:pt idx="10">
                  <c:v>100</c:v>
                </c:pt>
                <c:pt idx="11">
                  <c:v>110</c:v>
                </c:pt>
                <c:pt idx="12">
                  <c:v>120</c:v>
                </c:pt>
                <c:pt idx="13">
                  <c:v>130</c:v>
                </c:pt>
                <c:pt idx="14">
                  <c:v>140</c:v>
                </c:pt>
                <c:pt idx="15">
                  <c:v>150</c:v>
                </c:pt>
                <c:pt idx="16">
                  <c:v>160</c:v>
                </c:pt>
                <c:pt idx="17">
                  <c:v>170</c:v>
                </c:pt>
                <c:pt idx="18">
                  <c:v>180</c:v>
                </c:pt>
                <c:pt idx="19">
                  <c:v>190</c:v>
                </c:pt>
                <c:pt idx="20">
                  <c:v>200</c:v>
                </c:pt>
                <c:pt idx="21">
                  <c:v>210</c:v>
                </c:pt>
                <c:pt idx="22">
                  <c:v>220</c:v>
                </c:pt>
                <c:pt idx="23">
                  <c:v>230</c:v>
                </c:pt>
                <c:pt idx="24">
                  <c:v>240</c:v>
                </c:pt>
                <c:pt idx="25">
                  <c:v>250</c:v>
                </c:pt>
                <c:pt idx="26">
                  <c:v>260</c:v>
                </c:pt>
                <c:pt idx="27">
                  <c:v>270</c:v>
                </c:pt>
                <c:pt idx="28">
                  <c:v>280</c:v>
                </c:pt>
                <c:pt idx="29">
                  <c:v>290</c:v>
                </c:pt>
                <c:pt idx="30">
                  <c:v>300</c:v>
                </c:pt>
                <c:pt idx="31">
                  <c:v>310</c:v>
                </c:pt>
              </c:numCache>
            </c:numRef>
          </c:cat>
          <c:val>
            <c:numRef>
              <c:f>'Comb.fo 31 - Total - Weibull'!$BA$7:$BA$38</c:f>
              <c:numCache>
                <c:formatCode>General</c:formatCode>
                <c:ptCount val="32"/>
                <c:pt idx="0">
                  <c:v>1</c:v>
                </c:pt>
                <c:pt idx="1">
                  <c:v>0.99999999998228517</c:v>
                </c:pt>
                <c:pt idx="2">
                  <c:v>0.9999999979006301</c:v>
                </c:pt>
                <c:pt idx="3">
                  <c:v>0.99999996571086858</c:v>
                </c:pt>
                <c:pt idx="4">
                  <c:v>0.9999997512050588</c:v>
                </c:pt>
                <c:pt idx="5">
                  <c:v>0.99999884271430772</c:v>
                </c:pt>
                <c:pt idx="6">
                  <c:v>0.99999593642532103</c:v>
                </c:pt>
                <c:pt idx="7">
                  <c:v>0.99998824849617696</c:v>
                </c:pt>
                <c:pt idx="8">
                  <c:v>0.99997051590282438</c:v>
                </c:pt>
                <c:pt idx="9">
                  <c:v>0.99993363146304737</c:v>
                </c:pt>
                <c:pt idx="10">
                  <c:v>0.99986286014347658</c:v>
                </c:pt>
                <c:pt idx="11">
                  <c:v>0.99973558606225743</c:v>
                </c:pt>
                <c:pt idx="12">
                  <c:v>0.99951854334218593</c:v>
                </c:pt>
                <c:pt idx="13">
                  <c:v>0.99916449037557709</c:v>
                </c:pt>
                <c:pt idx="14">
                  <c:v>0.99860829798771367</c:v>
                </c:pt>
                <c:pt idx="15">
                  <c:v>0.99776244011829429</c:v>
                </c:pt>
                <c:pt idx="16">
                  <c:v>0.99651190471784001</c:v>
                </c:pt>
                <c:pt idx="17">
                  <c:v>0.99470858756168756</c:v>
                </c:pt>
                <c:pt idx="18">
                  <c:v>0.99216529895768002</c:v>
                </c:pt>
                <c:pt idx="19">
                  <c:v>0.98864961048169953</c:v>
                </c:pt>
                <c:pt idx="20">
                  <c:v>0.98387790436842604</c:v>
                </c:pt>
                <c:pt idx="21">
                  <c:v>0.97751017023024833</c:v>
                </c:pt>
                <c:pt idx="22">
                  <c:v>0.9691463283032139</c:v>
                </c:pt>
                <c:pt idx="23">
                  <c:v>0.95832514556293014</c:v>
                </c:pt>
                <c:pt idx="24">
                  <c:v>0.94452713972458979</c:v>
                </c:pt>
                <c:pt idx="25">
                  <c:v>0.92718320628969031</c:v>
                </c:pt>
                <c:pt idx="26">
                  <c:v>0.90569099650896934</c:v>
                </c:pt>
                <c:pt idx="27">
                  <c:v>0.87944122068631714</c:v>
                </c:pt>
                <c:pt idx="28">
                  <c:v>0.84785590428188362</c:v>
                </c:pt>
                <c:pt idx="29">
                  <c:v>0.81043998694448005</c:v>
                </c:pt>
                <c:pt idx="30">
                  <c:v>0.76684629760097467</c:v>
                </c:pt>
                <c:pt idx="31">
                  <c:v>0.71695164825654345</c:v>
                </c:pt>
              </c:numCache>
            </c:numRef>
          </c:val>
          <c:smooth val="0"/>
        </c:ser>
        <c:dLbls>
          <c:showLegendKey val="0"/>
          <c:showVal val="0"/>
          <c:showCatName val="0"/>
          <c:showSerName val="0"/>
          <c:showPercent val="0"/>
          <c:showBubbleSize val="0"/>
        </c:dLbls>
        <c:marker val="1"/>
        <c:smooth val="0"/>
        <c:axId val="120918400"/>
        <c:axId val="120919936"/>
      </c:lineChart>
      <c:catAx>
        <c:axId val="120918400"/>
        <c:scaling>
          <c:orientation val="minMax"/>
        </c:scaling>
        <c:delete val="0"/>
        <c:axPos val="b"/>
        <c:numFmt formatCode="General" sourceLinked="1"/>
        <c:majorTickMark val="out"/>
        <c:minorTickMark val="none"/>
        <c:tickLblPos val="nextTo"/>
        <c:crossAx val="120919936"/>
        <c:crosses val="autoZero"/>
        <c:auto val="1"/>
        <c:lblAlgn val="ctr"/>
        <c:lblOffset val="100"/>
        <c:noMultiLvlLbl val="0"/>
      </c:catAx>
      <c:valAx>
        <c:axId val="120919936"/>
        <c:scaling>
          <c:orientation val="minMax"/>
        </c:scaling>
        <c:delete val="0"/>
        <c:axPos val="l"/>
        <c:majorGridlines/>
        <c:numFmt formatCode="General" sourceLinked="1"/>
        <c:majorTickMark val="out"/>
        <c:minorTickMark val="none"/>
        <c:tickLblPos val="nextTo"/>
        <c:crossAx val="120918400"/>
        <c:crosses val="autoZero"/>
        <c:crossBetween val="between"/>
      </c:valAx>
    </c:plotArea>
    <c:plotVisOnly val="1"/>
    <c:dispBlanksAs val="gap"/>
    <c:showDLblsOverMax val="0"/>
  </c:chart>
  <c:printSettings>
    <c:headerFooter/>
    <c:pageMargins b="0.75" l="0.7" r="0.7" t="0.75" header="0.3" footer="0.3"/>
    <c:pageSetup/>
  </c:printSettings>
  <c:userShapes r:id="rId1"/>
</c:chartSpace>
</file>

<file path=xl/charts/chart151.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pt-PT"/>
              <a:t>Moinho de Carvão 41</a:t>
            </a:r>
            <a:r>
              <a:rPr lang="pt-PT" baseline="0"/>
              <a:t> - Chaminé</a:t>
            </a:r>
            <a:endParaRPr lang="pt-PT"/>
          </a:p>
        </c:rich>
      </c:tx>
      <c:layout/>
      <c:overlay val="0"/>
    </c:title>
    <c:autoTitleDeleted val="0"/>
    <c:plotArea>
      <c:layout/>
      <c:lineChart>
        <c:grouping val="standard"/>
        <c:varyColors val="0"/>
        <c:ser>
          <c:idx val="0"/>
          <c:order val="0"/>
          <c:tx>
            <c:v>2010</c:v>
          </c:tx>
          <c:marker>
            <c:symbol val="none"/>
          </c:marker>
          <c:cat>
            <c:numRef>
              <c:f>'Inciner 3 - Total - Exponencial'!$AJ$6:$AJ$79</c:f>
              <c:numCache>
                <c:formatCode>General</c:formatCode>
                <c:ptCount val="74"/>
                <c:pt idx="0">
                  <c:v>1</c:v>
                </c:pt>
                <c:pt idx="1">
                  <c:v>6</c:v>
                </c:pt>
                <c:pt idx="2">
                  <c:v>11</c:v>
                </c:pt>
                <c:pt idx="3">
                  <c:v>16</c:v>
                </c:pt>
                <c:pt idx="4">
                  <c:v>21</c:v>
                </c:pt>
                <c:pt idx="5">
                  <c:v>26</c:v>
                </c:pt>
                <c:pt idx="6">
                  <c:v>31</c:v>
                </c:pt>
                <c:pt idx="7">
                  <c:v>36</c:v>
                </c:pt>
                <c:pt idx="8">
                  <c:v>41</c:v>
                </c:pt>
                <c:pt idx="9">
                  <c:v>46</c:v>
                </c:pt>
                <c:pt idx="10">
                  <c:v>51</c:v>
                </c:pt>
                <c:pt idx="11">
                  <c:v>56</c:v>
                </c:pt>
                <c:pt idx="12">
                  <c:v>61</c:v>
                </c:pt>
                <c:pt idx="13">
                  <c:v>66</c:v>
                </c:pt>
                <c:pt idx="14">
                  <c:v>71</c:v>
                </c:pt>
                <c:pt idx="15">
                  <c:v>76</c:v>
                </c:pt>
                <c:pt idx="16">
                  <c:v>81</c:v>
                </c:pt>
                <c:pt idx="17">
                  <c:v>86</c:v>
                </c:pt>
                <c:pt idx="18">
                  <c:v>91</c:v>
                </c:pt>
                <c:pt idx="19">
                  <c:v>96</c:v>
                </c:pt>
                <c:pt idx="20">
                  <c:v>101</c:v>
                </c:pt>
                <c:pt idx="21">
                  <c:v>106</c:v>
                </c:pt>
                <c:pt idx="22">
                  <c:v>111</c:v>
                </c:pt>
                <c:pt idx="23">
                  <c:v>116</c:v>
                </c:pt>
                <c:pt idx="24">
                  <c:v>121</c:v>
                </c:pt>
                <c:pt idx="25">
                  <c:v>126</c:v>
                </c:pt>
                <c:pt idx="26">
                  <c:v>131</c:v>
                </c:pt>
                <c:pt idx="27">
                  <c:v>136</c:v>
                </c:pt>
                <c:pt idx="28">
                  <c:v>141</c:v>
                </c:pt>
                <c:pt idx="29">
                  <c:v>146</c:v>
                </c:pt>
                <c:pt idx="30">
                  <c:v>151</c:v>
                </c:pt>
                <c:pt idx="31">
                  <c:v>156</c:v>
                </c:pt>
                <c:pt idx="32">
                  <c:v>161</c:v>
                </c:pt>
                <c:pt idx="33">
                  <c:v>166</c:v>
                </c:pt>
                <c:pt idx="34">
                  <c:v>171</c:v>
                </c:pt>
                <c:pt idx="35">
                  <c:v>176</c:v>
                </c:pt>
                <c:pt idx="36">
                  <c:v>181</c:v>
                </c:pt>
                <c:pt idx="37">
                  <c:v>186</c:v>
                </c:pt>
                <c:pt idx="38">
                  <c:v>191</c:v>
                </c:pt>
                <c:pt idx="39">
                  <c:v>196</c:v>
                </c:pt>
                <c:pt idx="40">
                  <c:v>201</c:v>
                </c:pt>
                <c:pt idx="41">
                  <c:v>206</c:v>
                </c:pt>
                <c:pt idx="42">
                  <c:v>211</c:v>
                </c:pt>
                <c:pt idx="43">
                  <c:v>216</c:v>
                </c:pt>
                <c:pt idx="44">
                  <c:v>221</c:v>
                </c:pt>
                <c:pt idx="45">
                  <c:v>226</c:v>
                </c:pt>
                <c:pt idx="46">
                  <c:v>231</c:v>
                </c:pt>
                <c:pt idx="47">
                  <c:v>236</c:v>
                </c:pt>
                <c:pt idx="48">
                  <c:v>241</c:v>
                </c:pt>
                <c:pt idx="49">
                  <c:v>246</c:v>
                </c:pt>
                <c:pt idx="50">
                  <c:v>251</c:v>
                </c:pt>
                <c:pt idx="51">
                  <c:v>256</c:v>
                </c:pt>
                <c:pt idx="52">
                  <c:v>261</c:v>
                </c:pt>
                <c:pt idx="53">
                  <c:v>266</c:v>
                </c:pt>
                <c:pt idx="54">
                  <c:v>271</c:v>
                </c:pt>
                <c:pt idx="55">
                  <c:v>276</c:v>
                </c:pt>
                <c:pt idx="56">
                  <c:v>281</c:v>
                </c:pt>
                <c:pt idx="57">
                  <c:v>286</c:v>
                </c:pt>
                <c:pt idx="58">
                  <c:v>291</c:v>
                </c:pt>
                <c:pt idx="59">
                  <c:v>296</c:v>
                </c:pt>
                <c:pt idx="60">
                  <c:v>301</c:v>
                </c:pt>
                <c:pt idx="61">
                  <c:v>306</c:v>
                </c:pt>
                <c:pt idx="62">
                  <c:v>311</c:v>
                </c:pt>
                <c:pt idx="63">
                  <c:v>316</c:v>
                </c:pt>
                <c:pt idx="64">
                  <c:v>321</c:v>
                </c:pt>
                <c:pt idx="65">
                  <c:v>326</c:v>
                </c:pt>
                <c:pt idx="66">
                  <c:v>331</c:v>
                </c:pt>
                <c:pt idx="67">
                  <c:v>336</c:v>
                </c:pt>
                <c:pt idx="68">
                  <c:v>341</c:v>
                </c:pt>
                <c:pt idx="69">
                  <c:v>346</c:v>
                </c:pt>
                <c:pt idx="70">
                  <c:v>351</c:v>
                </c:pt>
                <c:pt idx="71">
                  <c:v>356</c:v>
                </c:pt>
                <c:pt idx="72">
                  <c:v>361</c:v>
                </c:pt>
                <c:pt idx="73">
                  <c:v>366</c:v>
                </c:pt>
              </c:numCache>
            </c:numRef>
          </c:cat>
          <c:val>
            <c:numRef>
              <c:f>'Comb.fo 41 - Total - Exponencia'!$AK$6:$AK$79</c:f>
              <c:numCache>
                <c:formatCode>General</c:formatCode>
                <c:ptCount val="74"/>
                <c:pt idx="0">
                  <c:v>0.99442898380825406</c:v>
                </c:pt>
                <c:pt idx="1">
                  <c:v>0.96703600252135291</c:v>
                </c:pt>
                <c:pt idx="2">
                  <c:v>0.94039760043115894</c:v>
                </c:pt>
                <c:pt idx="3">
                  <c:v>0.91449299156486641</c:v>
                </c:pt>
                <c:pt idx="4">
                  <c:v>0.88930196252928373</c:v>
                </c:pt>
                <c:pt idx="5">
                  <c:v>0.8648048567383021</c:v>
                </c:pt>
                <c:pt idx="6">
                  <c:v>0.84098255907484076</c:v>
                </c:pt>
                <c:pt idx="7">
                  <c:v>0.81781648097530157</c:v>
                </c:pt>
                <c:pt idx="8">
                  <c:v>0.79528854592489329</c:v>
                </c:pt>
                <c:pt idx="9">
                  <c:v>0.77338117535250839</c:v>
                </c:pt>
                <c:pt idx="10">
                  <c:v>0.752077274914146</c:v>
                </c:pt>
                <c:pt idx="11">
                  <c:v>0.73136022115417709</c:v>
                </c:pt>
                <c:pt idx="12">
                  <c:v>0.71121384853404512</c:v>
                </c:pt>
                <c:pt idx="13">
                  <c:v>0.69162243681827928</c:v>
                </c:pt>
                <c:pt idx="14">
                  <c:v>0.67257069880797882</c:v>
                </c:pt>
                <c:pt idx="15">
                  <c:v>0.65404376841219558</c:v>
                </c:pt>
                <c:pt idx="16">
                  <c:v>0.63602718904790756</c:v>
                </c:pt>
                <c:pt idx="17">
                  <c:v>0.61850690235953287</c:v>
                </c:pt>
                <c:pt idx="18">
                  <c:v>0.60146923724917967</c:v>
                </c:pt>
                <c:pt idx="19">
                  <c:v>0.5849008992090744</c:v>
                </c:pt>
                <c:pt idx="20">
                  <c:v>0.56878895994784373</c:v>
                </c:pt>
                <c:pt idx="21">
                  <c:v>0.5531208473025554</c:v>
                </c:pt>
                <c:pt idx="22">
                  <c:v>0.53788433542864633</c:v>
                </c:pt>
                <c:pt idx="23">
                  <c:v>0.52306753526008321</c:v>
                </c:pt>
                <c:pt idx="24">
                  <c:v>0.50865888523231229</c:v>
                </c:pt>
                <c:pt idx="25">
                  <c:v>0.4946471422607584</c:v>
                </c:pt>
                <c:pt idx="26">
                  <c:v>0.48102137296783437</c:v>
                </c:pt>
                <c:pt idx="27">
                  <c:v>0.46777094515161527</c:v>
                </c:pt>
                <c:pt idx="28">
                  <c:v>0.45488551948951989</c:v>
                </c:pt>
                <c:pt idx="29">
                  <c:v>0.44235504147052696</c:v>
                </c:pt>
                <c:pt idx="30">
                  <c:v>0.43016973354962967</c:v>
                </c:pt>
                <c:pt idx="31">
                  <c:v>0.41832008751840699</c:v>
                </c:pt>
                <c:pt idx="32">
                  <c:v>0.40679685708575891</c:v>
                </c:pt>
                <c:pt idx="33">
                  <c:v>0.39559105066301581</c:v>
                </c:pt>
                <c:pt idx="34">
                  <c:v>0.38469392434779259</c:v>
                </c:pt>
                <c:pt idx="35">
                  <c:v>0.37409697510111256</c:v>
                </c:pt>
                <c:pt idx="36">
                  <c:v>0.36379193411247712</c:v>
                </c:pt>
                <c:pt idx="37">
                  <c:v>0.35377076034770455</c:v>
                </c:pt>
                <c:pt idx="38">
                  <c:v>0.34402563427450272</c:v>
                </c:pt>
                <c:pt idx="39">
                  <c:v>0.33454895176087951</c:v>
                </c:pt>
                <c:pt idx="40">
                  <c:v>0.32533331814163124</c:v>
                </c:pt>
                <c:pt idx="41">
                  <c:v>0.31637154244827759</c:v>
                </c:pt>
                <c:pt idx="42">
                  <c:v>0.30765663179794123</c:v>
                </c:pt>
                <c:pt idx="43">
                  <c:v>0.29918178593679412</c:v>
                </c:pt>
                <c:pt idx="44">
                  <c:v>0.29094039193381266</c:v>
                </c:pt>
                <c:pt idx="45">
                  <c:v>0.28292601902070036</c:v>
                </c:pt>
                <c:pt idx="46">
                  <c:v>0.27513241357395296</c:v>
                </c:pt>
                <c:pt idx="47">
                  <c:v>0.26755349423514935</c:v>
                </c:pt>
                <c:pt idx="48">
                  <c:v>0.26018334716566116</c:v>
                </c:pt>
                <c:pt idx="49">
                  <c:v>0.2530162214320788</c:v>
                </c:pt>
                <c:pt idx="50">
                  <c:v>0.24604652451875172</c:v>
                </c:pt>
                <c:pt idx="51">
                  <c:v>0.23926881796394273</c:v>
                </c:pt>
                <c:pt idx="52">
                  <c:v>0.23267781311619076</c:v>
                </c:pt>
                <c:pt idx="53">
                  <c:v>0.22626836700757058</c:v>
                </c:pt>
                <c:pt idx="54">
                  <c:v>0.22003547834062961</c:v>
                </c:pt>
                <c:pt idx="55">
                  <c:v>0.21397428358587031</c:v>
                </c:pt>
                <c:pt idx="56">
                  <c:v>0.20808005318673303</c:v>
                </c:pt>
                <c:pt idx="57">
                  <c:v>0.2023481878691181</c:v>
                </c:pt>
                <c:pt idx="58">
                  <c:v>0.19677421505256759</c:v>
                </c:pt>
                <c:pt idx="59">
                  <c:v>0.19135378536030612</c:v>
                </c:pt>
                <c:pt idx="60">
                  <c:v>0.1860826692254175</c:v>
                </c:pt>
                <c:pt idx="61">
                  <c:v>0.18095675359050942</c:v>
                </c:pt>
                <c:pt idx="62">
                  <c:v>0.1759720386982904</c:v>
                </c:pt>
                <c:pt idx="63">
                  <c:v>0.17112463497055513</c:v>
                </c:pt>
                <c:pt idx="64">
                  <c:v>0.16641075997314245</c:v>
                </c:pt>
                <c:pt idx="65">
                  <c:v>0.16182673546449816</c:v>
                </c:pt>
                <c:pt idx="66">
                  <c:v>0.15736898452553913</c:v>
                </c:pt>
                <c:pt idx="67">
                  <c:v>0.15303402876857986</c:v>
                </c:pt>
                <c:pt idx="68">
                  <c:v>0.14881848562314282</c:v>
                </c:pt>
                <c:pt idx="69">
                  <c:v>0.14471906569653517</c:v>
                </c:pt>
                <c:pt idx="70">
                  <c:v>0.14073257020713237</c:v>
                </c:pt>
                <c:pt idx="71">
                  <c:v>0.13685588848836538</c:v>
                </c:pt>
                <c:pt idx="72">
                  <c:v>0.13308599556146444</c:v>
                </c:pt>
                <c:pt idx="73">
                  <c:v>0.12941994977506494</c:v>
                </c:pt>
              </c:numCache>
            </c:numRef>
          </c:val>
          <c:smooth val="0"/>
        </c:ser>
        <c:ser>
          <c:idx val="1"/>
          <c:order val="1"/>
          <c:tx>
            <c:v>2012</c:v>
          </c:tx>
          <c:marker>
            <c:symbol val="none"/>
          </c:marker>
          <c:val>
            <c:numRef>
              <c:f>'Comb.fo 41 - Total - Exponencia'!$AL$6:$AL$79</c:f>
              <c:numCache>
                <c:formatCode>General</c:formatCode>
                <c:ptCount val="74"/>
                <c:pt idx="0">
                  <c:v>0.99721836062779279</c:v>
                </c:pt>
                <c:pt idx="1">
                  <c:v>0.98342579696807908</c:v>
                </c:pt>
                <c:pt idx="2">
                  <c:v>0.96982399876136749</c:v>
                </c:pt>
                <c:pt idx="3">
                  <c:v>0.95641032752369259</c:v>
                </c:pt>
                <c:pt idx="4">
                  <c:v>0.94318218126405728</c:v>
                </c:pt>
                <c:pt idx="5">
                  <c:v>0.93013699397969707</c:v>
                </c:pt>
                <c:pt idx="6">
                  <c:v>0.9172722351583259</c:v>
                </c:pt>
                <c:pt idx="7">
                  <c:v>0.9045854092872655</c:v>
                </c:pt>
                <c:pt idx="8">
                  <c:v>0.89207405536936502</c:v>
                </c:pt>
                <c:pt idx="9">
                  <c:v>0.87973574644561525</c:v>
                </c:pt>
                <c:pt idx="10">
                  <c:v>0.867568089124366</c:v>
                </c:pt>
                <c:pt idx="11">
                  <c:v>0.85556872311705456</c:v>
                </c:pt>
                <c:pt idx="12">
                  <c:v>0.84373532078035562</c:v>
                </c:pt>
                <c:pt idx="13">
                  <c:v>0.83206558666466413</c:v>
                </c:pt>
                <c:pt idx="14">
                  <c:v>0.82055725706882254</c:v>
                </c:pt>
                <c:pt idx="15">
                  <c:v>0.80920809960100692</c:v>
                </c:pt>
                <c:pt idx="16">
                  <c:v>0.79801591274568617</c:v>
                </c:pt>
                <c:pt idx="17">
                  <c:v>0.78697852543657143</c:v>
                </c:pt>
                <c:pt idx="18">
                  <c:v>0.77609379663547085</c:v>
                </c:pt>
                <c:pt idx="19">
                  <c:v>0.76535961491697058</c:v>
                </c:pt>
                <c:pt idx="20">
                  <c:v>0.75477389805885875</c:v>
                </c:pt>
                <c:pt idx="21">
                  <c:v>0.74433459263821511</c:v>
                </c:pt>
                <c:pt idx="22">
                  <c:v>0.73403967363308709</c:v>
                </c:pt>
                <c:pt idx="23">
                  <c:v>0.7238871440296748</c:v>
                </c:pt>
                <c:pt idx="24">
                  <c:v>0.7138750344349496</c:v>
                </c:pt>
                <c:pt idx="25">
                  <c:v>0.70400140269462974</c:v>
                </c:pt>
                <c:pt idx="26">
                  <c:v>0.69426433351644024</c:v>
                </c:pt>
                <c:pt idx="27">
                  <c:v>0.68466193809858422</c:v>
                </c:pt>
                <c:pt idx="28">
                  <c:v>0.67519235376335118</c:v>
                </c:pt>
                <c:pt idx="29">
                  <c:v>0.66585374359579441</c:v>
                </c:pt>
                <c:pt idx="30">
                  <c:v>0.65664429608740515</c:v>
                </c:pt>
                <c:pt idx="31">
                  <c:v>0.64756222478471492</c:v>
                </c:pt>
                <c:pt idx="32">
                  <c:v>0.63860576794275881</c:v>
                </c:pt>
                <c:pt idx="33">
                  <c:v>0.62977318818333095</c:v>
                </c:pt>
                <c:pt idx="34">
                  <c:v>0.62106277215796701</c:v>
                </c:pt>
                <c:pt idx="35">
                  <c:v>0.61247283021558807</c:v>
                </c:pt>
                <c:pt idx="36">
                  <c:v>0.60400169607474108</c:v>
                </c:pt>
                <c:pt idx="37">
                  <c:v>0.5956477265003729</c:v>
                </c:pt>
                <c:pt idx="38">
                  <c:v>0.58740930098507438</c:v>
                </c:pt>
                <c:pt idx="39">
                  <c:v>0.57928482143473381</c:v>
                </c:pt>
                <c:pt idx="40">
                  <c:v>0.57127271185853779</c:v>
                </c:pt>
                <c:pt idx="41">
                  <c:v>0.56337141806325919</c:v>
                </c:pt>
                <c:pt idx="42">
                  <c:v>0.5555794073517748</c:v>
                </c:pt>
                <c:pt idx="43">
                  <c:v>0.54789516822575102</c:v>
                </c:pt>
                <c:pt idx="44">
                  <c:v>0.54031721009244316</c:v>
                </c:pt>
                <c:pt idx="45">
                  <c:v>0.53284406297554965</c:v>
                </c:pt>
                <c:pt idx="46">
                  <c:v>0.52547427723006446</c:v>
                </c:pt>
                <c:pt idx="47">
                  <c:v>0.51820642326107513</c:v>
                </c:pt>
                <c:pt idx="48">
                  <c:v>0.51103909124644864</c:v>
                </c:pt>
                <c:pt idx="49">
                  <c:v>0.50397089086335345</c:v>
                </c:pt>
                <c:pt idx="50">
                  <c:v>0.4970004510185641</c:v>
                </c:pt>
                <c:pt idx="51">
                  <c:v>0.49012641958249575</c:v>
                </c:pt>
                <c:pt idx="52">
                  <c:v>0.48334746312691729</c:v>
                </c:pt>
                <c:pt idx="53">
                  <c:v>0.47666226666629236</c:v>
                </c:pt>
                <c:pt idx="54">
                  <c:v>0.47006953340269758</c:v>
                </c:pt>
                <c:pt idx="55">
                  <c:v>0.46356798447426928</c:v>
                </c:pt>
                <c:pt idx="56">
                  <c:v>0.45715635870712901</c:v>
                </c:pt>
                <c:pt idx="57">
                  <c:v>0.45083341237074037</c:v>
                </c:pt>
                <c:pt idx="58">
                  <c:v>0.44459791893664952</c:v>
                </c:pt>
                <c:pt idx="59">
                  <c:v>0.43844866884056272</c:v>
                </c:pt>
                <c:pt idx="60">
                  <c:v>0.43238446924771412</c:v>
                </c:pt>
                <c:pt idx="61">
                  <c:v>0.42640414382147923</c:v>
                </c:pt>
                <c:pt idx="62">
                  <c:v>0.42050653249518855</c:v>
                </c:pt>
                <c:pt idx="63">
                  <c:v>0.41469049124709711</c:v>
                </c:pt>
                <c:pt idx="64">
                  <c:v>0.40895489187846656</c:v>
                </c:pt>
                <c:pt idx="65">
                  <c:v>0.40329862179471665</c:v>
                </c:pt>
                <c:pt idx="66">
                  <c:v>0.39772058378960357</c:v>
                </c:pt>
                <c:pt idx="67">
                  <c:v>0.39221969583238303</c:v>
                </c:pt>
                <c:pt idx="68">
                  <c:v>0.38679489085791779</c:v>
                </c:pt>
                <c:pt idx="69">
                  <c:v>0.38144511655968755</c:v>
                </c:pt>
                <c:pt idx="70">
                  <c:v>0.37616933518566198</c:v>
                </c:pt>
                <c:pt idx="71">
                  <c:v>0.37096652333699709</c:v>
                </c:pt>
                <c:pt idx="72">
                  <c:v>0.36583567176951587</c:v>
                </c:pt>
                <c:pt idx="73">
                  <c:v>0.36077578519793424</c:v>
                </c:pt>
              </c:numCache>
            </c:numRef>
          </c:val>
          <c:smooth val="0"/>
        </c:ser>
        <c:ser>
          <c:idx val="2"/>
          <c:order val="2"/>
          <c:tx>
            <c:v>2013</c:v>
          </c:tx>
          <c:marker>
            <c:symbol val="none"/>
          </c:marker>
          <c:val>
            <c:numRef>
              <c:f>'Comb.fo 41 - Total - Exponencia'!$AM$6:$AM$79</c:f>
              <c:numCache>
                <c:formatCode>General</c:formatCode>
                <c:ptCount val="74"/>
                <c:pt idx="0">
                  <c:v>0.99945220488907882</c:v>
                </c:pt>
                <c:pt idx="1">
                  <c:v>0.99671772724043539</c:v>
                </c:pt>
                <c:pt idx="2">
                  <c:v>0.99399073105811353</c:v>
                </c:pt>
                <c:pt idx="3">
                  <c:v>0.99127119587299795</c:v>
                </c:pt>
                <c:pt idx="4">
                  <c:v>0.98855910127197633</c:v>
                </c:pt>
                <c:pt idx="5">
                  <c:v>0.98585442689778624</c:v>
                </c:pt>
                <c:pt idx="6">
                  <c:v>0.98315715244886204</c:v>
                </c:pt>
                <c:pt idx="7">
                  <c:v>0.98046725767918297</c:v>
                </c:pt>
                <c:pt idx="8">
                  <c:v>0.97778472239812064</c:v>
                </c:pt>
                <c:pt idx="9">
                  <c:v>0.97510952647028781</c:v>
                </c:pt>
                <c:pt idx="10">
                  <c:v>0.97244164981538739</c:v>
                </c:pt>
                <c:pt idx="11">
                  <c:v>0.96978107240806133</c:v>
                </c:pt>
                <c:pt idx="12">
                  <c:v>0.96712777427774033</c:v>
                </c:pt>
                <c:pt idx="13">
                  <c:v>0.96448173550849448</c:v>
                </c:pt>
                <c:pt idx="14">
                  <c:v>0.96184293623888306</c:v>
                </c:pt>
                <c:pt idx="15">
                  <c:v>0.9592113566618059</c:v>
                </c:pt>
                <c:pt idx="16">
                  <c:v>0.95658697702435458</c:v>
                </c:pt>
                <c:pt idx="17">
                  <c:v>0.95396977762766422</c:v>
                </c:pt>
                <c:pt idx="18">
                  <c:v>0.9513597388267655</c:v>
                </c:pt>
                <c:pt idx="19">
                  <c:v>0.94875684103043745</c:v>
                </c:pt>
                <c:pt idx="20">
                  <c:v>0.94616106470105976</c:v>
                </c:pt>
                <c:pt idx="21">
                  <c:v>0.94357239035446716</c:v>
                </c:pt>
                <c:pt idx="22">
                  <c:v>0.94099079855980228</c:v>
                </c:pt>
                <c:pt idx="23">
                  <c:v>0.93841626993937011</c:v>
                </c:pt>
                <c:pt idx="24">
                  <c:v>0.93584878516849268</c:v>
                </c:pt>
                <c:pt idx="25">
                  <c:v>0.93328832497536385</c:v>
                </c:pt>
                <c:pt idx="26">
                  <c:v>0.9307348701409045</c:v>
                </c:pt>
                <c:pt idx="27">
                  <c:v>0.9281884014986187</c:v>
                </c:pt>
                <c:pt idx="28">
                  <c:v>0.92564889993444965</c:v>
                </c:pt>
                <c:pt idx="29">
                  <c:v>0.92311634638663576</c:v>
                </c:pt>
                <c:pt idx="30">
                  <c:v>0.92059072184556845</c:v>
                </c:pt>
                <c:pt idx="31">
                  <c:v>0.91807200735364869</c:v>
                </c:pt>
                <c:pt idx="32">
                  <c:v>0.91556018400514516</c:v>
                </c:pt>
                <c:pt idx="33">
                  <c:v>0.91305523294605184</c:v>
                </c:pt>
                <c:pt idx="34">
                  <c:v>0.91055713537394734</c:v>
                </c:pt>
                <c:pt idx="35">
                  <c:v>0.90806587253785276</c:v>
                </c:pt>
                <c:pt idx="36">
                  <c:v>0.90558142573809186</c:v>
                </c:pt>
                <c:pt idx="37">
                  <c:v>0.90310377632614991</c:v>
                </c:pt>
                <c:pt idx="38">
                  <c:v>0.90063290570453425</c:v>
                </c:pt>
                <c:pt idx="39">
                  <c:v>0.89816879532663463</c:v>
                </c:pt>
                <c:pt idx="40">
                  <c:v>0.89571142669658366</c:v>
                </c:pt>
                <c:pt idx="41">
                  <c:v>0.89326078136911824</c:v>
                </c:pt>
                <c:pt idx="42">
                  <c:v>0.89081684094944136</c:v>
                </c:pt>
                <c:pt idx="43">
                  <c:v>0.88837958709308329</c:v>
                </c:pt>
                <c:pt idx="44">
                  <c:v>0.88594900150576472</c:v>
                </c:pt>
                <c:pt idx="45">
                  <c:v>0.88352506594325886</c:v>
                </c:pt>
                <c:pt idx="46">
                  <c:v>0.88110776221125475</c:v>
                </c:pt>
                <c:pt idx="47">
                  <c:v>0.87869707216522064</c:v>
                </c:pt>
                <c:pt idx="48">
                  <c:v>0.87629297771026782</c:v>
                </c:pt>
                <c:pt idx="49">
                  <c:v>0.87389546080101455</c:v>
                </c:pt>
                <c:pt idx="50">
                  <c:v>0.87150450344145125</c:v>
                </c:pt>
                <c:pt idx="51">
                  <c:v>0.86912008768480453</c:v>
                </c:pt>
                <c:pt idx="52">
                  <c:v>0.86674219563340338</c:v>
                </c:pt>
                <c:pt idx="53">
                  <c:v>0.86437080943854394</c:v>
                </c:pt>
                <c:pt idx="54">
                  <c:v>0.86200591130035653</c:v>
                </c:pt>
                <c:pt idx="55">
                  <c:v>0.85964748346767084</c:v>
                </c:pt>
                <c:pt idx="56">
                  <c:v>0.85729550823788403</c:v>
                </c:pt>
                <c:pt idx="57">
                  <c:v>0.85494996795682665</c:v>
                </c:pt>
                <c:pt idx="58">
                  <c:v>0.85261084501863094</c:v>
                </c:pt>
                <c:pt idx="59">
                  <c:v>0.85027812186559804</c:v>
                </c:pt>
                <c:pt idx="60">
                  <c:v>0.84795178098806701</c:v>
                </c:pt>
                <c:pt idx="61">
                  <c:v>0.84563180492428247</c:v>
                </c:pt>
                <c:pt idx="62">
                  <c:v>0.8433181762602644</c:v>
                </c:pt>
                <c:pt idx="63">
                  <c:v>0.84101087762967663</c:v>
                </c:pt>
                <c:pt idx="64">
                  <c:v>0.83870989171369714</c:v>
                </c:pt>
                <c:pt idx="65">
                  <c:v>0.83641520124088775</c:v>
                </c:pt>
                <c:pt idx="66">
                  <c:v>0.83412678898706449</c:v>
                </c:pt>
                <c:pt idx="67">
                  <c:v>0.83184463777516837</c:v>
                </c:pt>
                <c:pt idx="68">
                  <c:v>0.82956873047513635</c:v>
                </c:pt>
                <c:pt idx="69">
                  <c:v>0.82729905000377302</c:v>
                </c:pt>
                <c:pt idx="70">
                  <c:v>0.8250355793246219</c:v>
                </c:pt>
                <c:pt idx="71">
                  <c:v>0.82277830144783826</c:v>
                </c:pt>
                <c:pt idx="72">
                  <c:v>0.82052719943006081</c:v>
                </c:pt>
                <c:pt idx="73">
                  <c:v>0.81828225637428498</c:v>
                </c:pt>
              </c:numCache>
            </c:numRef>
          </c:val>
          <c:smooth val="0"/>
        </c:ser>
        <c:dLbls>
          <c:showLegendKey val="0"/>
          <c:showVal val="0"/>
          <c:showCatName val="0"/>
          <c:showSerName val="0"/>
          <c:showPercent val="0"/>
          <c:showBubbleSize val="0"/>
        </c:dLbls>
        <c:marker val="1"/>
        <c:smooth val="0"/>
        <c:axId val="117810688"/>
        <c:axId val="117812224"/>
      </c:lineChart>
      <c:catAx>
        <c:axId val="117810688"/>
        <c:scaling>
          <c:orientation val="minMax"/>
        </c:scaling>
        <c:delete val="0"/>
        <c:axPos val="b"/>
        <c:numFmt formatCode="General" sourceLinked="1"/>
        <c:majorTickMark val="out"/>
        <c:minorTickMark val="none"/>
        <c:tickLblPos val="nextTo"/>
        <c:crossAx val="117812224"/>
        <c:crosses val="autoZero"/>
        <c:auto val="1"/>
        <c:lblAlgn val="ctr"/>
        <c:lblOffset val="100"/>
        <c:noMultiLvlLbl val="0"/>
      </c:catAx>
      <c:valAx>
        <c:axId val="117812224"/>
        <c:scaling>
          <c:orientation val="minMax"/>
          <c:max val="1"/>
        </c:scaling>
        <c:delete val="0"/>
        <c:axPos val="l"/>
        <c:majorGridlines/>
        <c:numFmt formatCode="General" sourceLinked="1"/>
        <c:majorTickMark val="out"/>
        <c:minorTickMark val="none"/>
        <c:tickLblPos val="nextTo"/>
        <c:crossAx val="117810688"/>
        <c:crosses val="autoZero"/>
        <c:crossBetween val="between"/>
      </c:valAx>
    </c:plotArea>
    <c:legend>
      <c:legendPos val="r"/>
      <c:layout/>
      <c:overlay val="0"/>
    </c:legend>
    <c:plotVisOnly val="1"/>
    <c:dispBlanksAs val="gap"/>
    <c:showDLblsOverMax val="0"/>
  </c:chart>
  <c:printSettings>
    <c:headerFooter/>
    <c:pageMargins b="0.75" l="0.7" r="0.7" t="0.75" header="0.3" footer="0.3"/>
    <c:pageSetup/>
  </c:printSettings>
</c:chartSpace>
</file>

<file path=xl/charts/chart152.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pt-PT"/>
              <a:t>Moinho de Carvão 41 - Filtro</a:t>
            </a:r>
          </a:p>
        </c:rich>
      </c:tx>
      <c:layout/>
      <c:overlay val="0"/>
    </c:title>
    <c:autoTitleDeleted val="0"/>
    <c:plotArea>
      <c:layout/>
      <c:lineChart>
        <c:grouping val="standard"/>
        <c:varyColors val="0"/>
        <c:ser>
          <c:idx val="0"/>
          <c:order val="0"/>
          <c:tx>
            <c:v>2012</c:v>
          </c:tx>
          <c:marker>
            <c:symbol val="none"/>
          </c:marker>
          <c:val>
            <c:numRef>
              <c:f>'Comb.fo 41 - Total - Exponencia'!$AN$6:$AN$79</c:f>
              <c:numCache>
                <c:formatCode>General</c:formatCode>
                <c:ptCount val="74"/>
                <c:pt idx="0">
                  <c:v>0.99721836062779279</c:v>
                </c:pt>
                <c:pt idx="1">
                  <c:v>0.98342579696807908</c:v>
                </c:pt>
                <c:pt idx="2">
                  <c:v>0.96982399876136749</c:v>
                </c:pt>
                <c:pt idx="3">
                  <c:v>0.95641032752369259</c:v>
                </c:pt>
                <c:pt idx="4">
                  <c:v>0.94318218126405728</c:v>
                </c:pt>
                <c:pt idx="5">
                  <c:v>0.93013699397969707</c:v>
                </c:pt>
                <c:pt idx="6">
                  <c:v>0.9172722351583259</c:v>
                </c:pt>
                <c:pt idx="7">
                  <c:v>0.9045854092872655</c:v>
                </c:pt>
                <c:pt idx="8">
                  <c:v>0.89207405536936502</c:v>
                </c:pt>
                <c:pt idx="9">
                  <c:v>0.87973574644561525</c:v>
                </c:pt>
                <c:pt idx="10">
                  <c:v>0.867568089124366</c:v>
                </c:pt>
                <c:pt idx="11">
                  <c:v>0.85556872311705456</c:v>
                </c:pt>
                <c:pt idx="12">
                  <c:v>0.84373532078035562</c:v>
                </c:pt>
                <c:pt idx="13">
                  <c:v>0.83206558666466413</c:v>
                </c:pt>
                <c:pt idx="14">
                  <c:v>0.82055725706882254</c:v>
                </c:pt>
                <c:pt idx="15">
                  <c:v>0.80920809960100692</c:v>
                </c:pt>
                <c:pt idx="16">
                  <c:v>0.79801591274568617</c:v>
                </c:pt>
                <c:pt idx="17">
                  <c:v>0.78697852543657143</c:v>
                </c:pt>
                <c:pt idx="18">
                  <c:v>0.77609379663547085</c:v>
                </c:pt>
                <c:pt idx="19">
                  <c:v>0.76535961491697058</c:v>
                </c:pt>
                <c:pt idx="20">
                  <c:v>0.75477389805885875</c:v>
                </c:pt>
                <c:pt idx="21">
                  <c:v>0.74433459263821511</c:v>
                </c:pt>
                <c:pt idx="22">
                  <c:v>0.73403967363308709</c:v>
                </c:pt>
                <c:pt idx="23">
                  <c:v>0.7238871440296748</c:v>
                </c:pt>
                <c:pt idx="24">
                  <c:v>0.7138750344349496</c:v>
                </c:pt>
                <c:pt idx="25">
                  <c:v>0.70400140269462974</c:v>
                </c:pt>
                <c:pt idx="26">
                  <c:v>0.69426433351644024</c:v>
                </c:pt>
                <c:pt idx="27">
                  <c:v>0.68466193809858422</c:v>
                </c:pt>
                <c:pt idx="28">
                  <c:v>0.67519235376335118</c:v>
                </c:pt>
                <c:pt idx="29">
                  <c:v>0.66585374359579441</c:v>
                </c:pt>
                <c:pt idx="30">
                  <c:v>0.65664429608740515</c:v>
                </c:pt>
                <c:pt idx="31">
                  <c:v>0.64756222478471492</c:v>
                </c:pt>
                <c:pt idx="32">
                  <c:v>0.63860576794275881</c:v>
                </c:pt>
                <c:pt idx="33">
                  <c:v>0.62977318818333095</c:v>
                </c:pt>
                <c:pt idx="34">
                  <c:v>0.62106277215796701</c:v>
                </c:pt>
                <c:pt idx="35">
                  <c:v>0.61247283021558807</c:v>
                </c:pt>
                <c:pt idx="36">
                  <c:v>0.60400169607474108</c:v>
                </c:pt>
                <c:pt idx="37">
                  <c:v>0.5956477265003729</c:v>
                </c:pt>
                <c:pt idx="38">
                  <c:v>0.58740930098507438</c:v>
                </c:pt>
                <c:pt idx="39">
                  <c:v>0.57928482143473381</c:v>
                </c:pt>
                <c:pt idx="40">
                  <c:v>0.57127271185853779</c:v>
                </c:pt>
                <c:pt idx="41">
                  <c:v>0.56337141806325919</c:v>
                </c:pt>
                <c:pt idx="42">
                  <c:v>0.5555794073517748</c:v>
                </c:pt>
                <c:pt idx="43">
                  <c:v>0.54789516822575102</c:v>
                </c:pt>
                <c:pt idx="44">
                  <c:v>0.54031721009244316</c:v>
                </c:pt>
                <c:pt idx="45">
                  <c:v>0.53284406297554965</c:v>
                </c:pt>
                <c:pt idx="46">
                  <c:v>0.52547427723006446</c:v>
                </c:pt>
                <c:pt idx="47">
                  <c:v>0.51820642326107513</c:v>
                </c:pt>
                <c:pt idx="48">
                  <c:v>0.51103909124644864</c:v>
                </c:pt>
                <c:pt idx="49">
                  <c:v>0.50397089086335345</c:v>
                </c:pt>
                <c:pt idx="50">
                  <c:v>0.4970004510185641</c:v>
                </c:pt>
                <c:pt idx="51">
                  <c:v>0.49012641958249575</c:v>
                </c:pt>
                <c:pt idx="52">
                  <c:v>0.48334746312691729</c:v>
                </c:pt>
                <c:pt idx="53">
                  <c:v>0.47666226666629236</c:v>
                </c:pt>
                <c:pt idx="54">
                  <c:v>0.47006953340269758</c:v>
                </c:pt>
                <c:pt idx="55">
                  <c:v>0.46356798447426928</c:v>
                </c:pt>
                <c:pt idx="56">
                  <c:v>0.45715635870712901</c:v>
                </c:pt>
                <c:pt idx="57">
                  <c:v>0.45083341237074037</c:v>
                </c:pt>
                <c:pt idx="58">
                  <c:v>0.44459791893664952</c:v>
                </c:pt>
                <c:pt idx="59">
                  <c:v>0.43844866884056272</c:v>
                </c:pt>
                <c:pt idx="60">
                  <c:v>0.43238446924771412</c:v>
                </c:pt>
                <c:pt idx="61">
                  <c:v>0.42640414382147923</c:v>
                </c:pt>
                <c:pt idx="62">
                  <c:v>0.42050653249518855</c:v>
                </c:pt>
                <c:pt idx="63">
                  <c:v>0.41469049124709711</c:v>
                </c:pt>
                <c:pt idx="64">
                  <c:v>0.40895489187846656</c:v>
                </c:pt>
                <c:pt idx="65">
                  <c:v>0.40329862179471665</c:v>
                </c:pt>
                <c:pt idx="66">
                  <c:v>0.39772058378960357</c:v>
                </c:pt>
                <c:pt idx="67">
                  <c:v>0.39221969583238303</c:v>
                </c:pt>
                <c:pt idx="68">
                  <c:v>0.38679489085791779</c:v>
                </c:pt>
                <c:pt idx="69">
                  <c:v>0.38144511655968755</c:v>
                </c:pt>
                <c:pt idx="70">
                  <c:v>0.37616933518566198</c:v>
                </c:pt>
                <c:pt idx="71">
                  <c:v>0.37096652333699709</c:v>
                </c:pt>
                <c:pt idx="72">
                  <c:v>0.36583567176951587</c:v>
                </c:pt>
                <c:pt idx="73">
                  <c:v>0.36077578519793424</c:v>
                </c:pt>
              </c:numCache>
            </c:numRef>
          </c:val>
          <c:smooth val="0"/>
        </c:ser>
        <c:ser>
          <c:idx val="1"/>
          <c:order val="1"/>
          <c:tx>
            <c:v>2013</c:v>
          </c:tx>
          <c:marker>
            <c:symbol val="none"/>
          </c:marker>
          <c:val>
            <c:numRef>
              <c:f>'Comb.fo 41 - Total - Exponencia'!$AO$6:$AO$79</c:f>
              <c:numCache>
                <c:formatCode>General</c:formatCode>
                <c:ptCount val="74"/>
                <c:pt idx="0">
                  <c:v>0.99945220488907882</c:v>
                </c:pt>
                <c:pt idx="1">
                  <c:v>0.99671772724043539</c:v>
                </c:pt>
                <c:pt idx="2">
                  <c:v>0.99399073105811353</c:v>
                </c:pt>
                <c:pt idx="3">
                  <c:v>0.99127119587299795</c:v>
                </c:pt>
                <c:pt idx="4">
                  <c:v>0.98855910127197633</c:v>
                </c:pt>
                <c:pt idx="5">
                  <c:v>0.98585442689778624</c:v>
                </c:pt>
                <c:pt idx="6">
                  <c:v>0.98315715244886204</c:v>
                </c:pt>
                <c:pt idx="7">
                  <c:v>0.98046725767918297</c:v>
                </c:pt>
                <c:pt idx="8">
                  <c:v>0.97778472239812064</c:v>
                </c:pt>
                <c:pt idx="9">
                  <c:v>0.97510952647028781</c:v>
                </c:pt>
                <c:pt idx="10">
                  <c:v>0.97244164981538739</c:v>
                </c:pt>
                <c:pt idx="11">
                  <c:v>0.96978107240806133</c:v>
                </c:pt>
                <c:pt idx="12">
                  <c:v>0.96712777427774033</c:v>
                </c:pt>
                <c:pt idx="13">
                  <c:v>0.96448173550849448</c:v>
                </c:pt>
                <c:pt idx="14">
                  <c:v>0.96184293623888306</c:v>
                </c:pt>
                <c:pt idx="15">
                  <c:v>0.9592113566618059</c:v>
                </c:pt>
                <c:pt idx="16">
                  <c:v>0.95658697702435458</c:v>
                </c:pt>
                <c:pt idx="17">
                  <c:v>0.95396977762766422</c:v>
                </c:pt>
                <c:pt idx="18">
                  <c:v>0.9513597388267655</c:v>
                </c:pt>
                <c:pt idx="19">
                  <c:v>0.94875684103043745</c:v>
                </c:pt>
                <c:pt idx="20">
                  <c:v>0.94616106470105976</c:v>
                </c:pt>
                <c:pt idx="21">
                  <c:v>0.94357239035446716</c:v>
                </c:pt>
                <c:pt idx="22">
                  <c:v>0.94099079855980228</c:v>
                </c:pt>
                <c:pt idx="23">
                  <c:v>0.93841626993937011</c:v>
                </c:pt>
                <c:pt idx="24">
                  <c:v>0.93584878516849268</c:v>
                </c:pt>
                <c:pt idx="25">
                  <c:v>0.93328832497536385</c:v>
                </c:pt>
                <c:pt idx="26">
                  <c:v>0.9307348701409045</c:v>
                </c:pt>
                <c:pt idx="27">
                  <c:v>0.9281884014986187</c:v>
                </c:pt>
                <c:pt idx="28">
                  <c:v>0.92564889993444965</c:v>
                </c:pt>
                <c:pt idx="29">
                  <c:v>0.92311634638663576</c:v>
                </c:pt>
                <c:pt idx="30">
                  <c:v>0.92059072184556845</c:v>
                </c:pt>
                <c:pt idx="31">
                  <c:v>0.91807200735364869</c:v>
                </c:pt>
                <c:pt idx="32">
                  <c:v>0.91556018400514516</c:v>
                </c:pt>
                <c:pt idx="33">
                  <c:v>0.91305523294605184</c:v>
                </c:pt>
                <c:pt idx="34">
                  <c:v>0.91055713537394734</c:v>
                </c:pt>
                <c:pt idx="35">
                  <c:v>0.90806587253785276</c:v>
                </c:pt>
                <c:pt idx="36">
                  <c:v>0.90558142573809186</c:v>
                </c:pt>
                <c:pt idx="37">
                  <c:v>0.90310377632614991</c:v>
                </c:pt>
                <c:pt idx="38">
                  <c:v>0.90063290570453425</c:v>
                </c:pt>
                <c:pt idx="39">
                  <c:v>0.89816879532663463</c:v>
                </c:pt>
                <c:pt idx="40">
                  <c:v>0.89571142669658366</c:v>
                </c:pt>
                <c:pt idx="41">
                  <c:v>0.89326078136911824</c:v>
                </c:pt>
                <c:pt idx="42">
                  <c:v>0.89081684094944136</c:v>
                </c:pt>
                <c:pt idx="43">
                  <c:v>0.88837958709308329</c:v>
                </c:pt>
                <c:pt idx="44">
                  <c:v>0.88594900150576472</c:v>
                </c:pt>
                <c:pt idx="45">
                  <c:v>0.88352506594325886</c:v>
                </c:pt>
                <c:pt idx="46">
                  <c:v>0.88110776221125475</c:v>
                </c:pt>
                <c:pt idx="47">
                  <c:v>0.87869707216522064</c:v>
                </c:pt>
                <c:pt idx="48">
                  <c:v>0.87629297771026782</c:v>
                </c:pt>
                <c:pt idx="49">
                  <c:v>0.87389546080101455</c:v>
                </c:pt>
                <c:pt idx="50">
                  <c:v>0.87150450344145125</c:v>
                </c:pt>
                <c:pt idx="51">
                  <c:v>0.86912008768480453</c:v>
                </c:pt>
                <c:pt idx="52">
                  <c:v>0.86674219563340338</c:v>
                </c:pt>
                <c:pt idx="53">
                  <c:v>0.86437080943854394</c:v>
                </c:pt>
                <c:pt idx="54">
                  <c:v>0.86200591130035653</c:v>
                </c:pt>
                <c:pt idx="55">
                  <c:v>0.85964748346767084</c:v>
                </c:pt>
                <c:pt idx="56">
                  <c:v>0.85729550823788403</c:v>
                </c:pt>
                <c:pt idx="57">
                  <c:v>0.85494996795682665</c:v>
                </c:pt>
                <c:pt idx="58">
                  <c:v>0.85261084501863094</c:v>
                </c:pt>
                <c:pt idx="59">
                  <c:v>0.85027812186559804</c:v>
                </c:pt>
                <c:pt idx="60">
                  <c:v>0.84795178098806701</c:v>
                </c:pt>
                <c:pt idx="61">
                  <c:v>0.84563180492428247</c:v>
                </c:pt>
                <c:pt idx="62">
                  <c:v>0.8433181762602644</c:v>
                </c:pt>
                <c:pt idx="63">
                  <c:v>0.84101087762967663</c:v>
                </c:pt>
                <c:pt idx="64">
                  <c:v>0.83870989171369714</c:v>
                </c:pt>
                <c:pt idx="65">
                  <c:v>0.83641520124088775</c:v>
                </c:pt>
                <c:pt idx="66">
                  <c:v>0.83412678898706449</c:v>
                </c:pt>
                <c:pt idx="67">
                  <c:v>0.83184463777516837</c:v>
                </c:pt>
                <c:pt idx="68">
                  <c:v>0.82956873047513635</c:v>
                </c:pt>
                <c:pt idx="69">
                  <c:v>0.82729905000377302</c:v>
                </c:pt>
                <c:pt idx="70">
                  <c:v>0.8250355793246219</c:v>
                </c:pt>
                <c:pt idx="71">
                  <c:v>0.82277830144783826</c:v>
                </c:pt>
                <c:pt idx="72">
                  <c:v>0.82052719943006081</c:v>
                </c:pt>
                <c:pt idx="73">
                  <c:v>0.81828225637428498</c:v>
                </c:pt>
              </c:numCache>
            </c:numRef>
          </c:val>
          <c:smooth val="0"/>
        </c:ser>
        <c:dLbls>
          <c:showLegendKey val="0"/>
          <c:showVal val="0"/>
          <c:showCatName val="0"/>
          <c:showSerName val="0"/>
          <c:showPercent val="0"/>
          <c:showBubbleSize val="0"/>
        </c:dLbls>
        <c:marker val="1"/>
        <c:smooth val="0"/>
        <c:axId val="120999936"/>
        <c:axId val="121001472"/>
      </c:lineChart>
      <c:catAx>
        <c:axId val="120999936"/>
        <c:scaling>
          <c:orientation val="minMax"/>
        </c:scaling>
        <c:delete val="0"/>
        <c:axPos val="b"/>
        <c:numFmt formatCode="General" sourceLinked="1"/>
        <c:majorTickMark val="out"/>
        <c:minorTickMark val="none"/>
        <c:tickLblPos val="nextTo"/>
        <c:crossAx val="121001472"/>
        <c:crosses val="autoZero"/>
        <c:auto val="1"/>
        <c:lblAlgn val="ctr"/>
        <c:lblOffset val="100"/>
        <c:noMultiLvlLbl val="0"/>
      </c:catAx>
      <c:valAx>
        <c:axId val="121001472"/>
        <c:scaling>
          <c:orientation val="minMax"/>
          <c:max val="1"/>
        </c:scaling>
        <c:delete val="0"/>
        <c:axPos val="l"/>
        <c:majorGridlines/>
        <c:numFmt formatCode="General" sourceLinked="1"/>
        <c:majorTickMark val="out"/>
        <c:minorTickMark val="none"/>
        <c:tickLblPos val="nextTo"/>
        <c:crossAx val="120999936"/>
        <c:crosses val="autoZero"/>
        <c:crossBetween val="between"/>
      </c:valAx>
    </c:plotArea>
    <c:legend>
      <c:legendPos val="r"/>
      <c:layout/>
      <c:overlay val="0"/>
    </c:legend>
    <c:plotVisOnly val="1"/>
    <c:dispBlanksAs val="gap"/>
    <c:showDLblsOverMax val="0"/>
  </c:chart>
  <c:printSettings>
    <c:headerFooter/>
    <c:pageMargins b="0.75" l="0.7" r="0.7" t="0.75" header="0.3" footer="0.3"/>
    <c:pageSetup/>
  </c:printSettings>
</c:chartSpace>
</file>

<file path=xl/charts/chart153.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pt-PT"/>
              <a:t>Moinho de Cimento 1</a:t>
            </a:r>
            <a:r>
              <a:rPr lang="pt-PT" baseline="0"/>
              <a:t> - Chaminé</a:t>
            </a:r>
            <a:endParaRPr lang="pt-PT"/>
          </a:p>
        </c:rich>
      </c:tx>
      <c:layout/>
      <c:overlay val="0"/>
    </c:title>
    <c:autoTitleDeleted val="0"/>
    <c:plotArea>
      <c:layout/>
      <c:lineChart>
        <c:grouping val="standard"/>
        <c:varyColors val="0"/>
        <c:ser>
          <c:idx val="0"/>
          <c:order val="0"/>
          <c:tx>
            <c:v>2014</c:v>
          </c:tx>
          <c:marker>
            <c:symbol val="none"/>
          </c:marker>
          <c:val>
            <c:numRef>
              <c:f>'Moinhos - Total - Exponencial'!$AK$6:$AK$79</c:f>
              <c:numCache>
                <c:formatCode>General</c:formatCode>
                <c:ptCount val="74"/>
                <c:pt idx="0">
                  <c:v>0.99721836062779279</c:v>
                </c:pt>
                <c:pt idx="1">
                  <c:v>0.98342579696807908</c:v>
                </c:pt>
                <c:pt idx="2">
                  <c:v>0.96982399876136749</c:v>
                </c:pt>
                <c:pt idx="3">
                  <c:v>0.95641032752369259</c:v>
                </c:pt>
                <c:pt idx="4">
                  <c:v>0.94318218126405728</c:v>
                </c:pt>
                <c:pt idx="5">
                  <c:v>0.93013699397969707</c:v>
                </c:pt>
                <c:pt idx="6">
                  <c:v>0.9172722351583259</c:v>
                </c:pt>
                <c:pt idx="7">
                  <c:v>0.9045854092872655</c:v>
                </c:pt>
                <c:pt idx="8">
                  <c:v>0.89207405536936502</c:v>
                </c:pt>
                <c:pt idx="9">
                  <c:v>0.87973574644561525</c:v>
                </c:pt>
                <c:pt idx="10">
                  <c:v>0.867568089124366</c:v>
                </c:pt>
                <c:pt idx="11">
                  <c:v>0.85556872311705456</c:v>
                </c:pt>
                <c:pt idx="12">
                  <c:v>0.84373532078035562</c:v>
                </c:pt>
                <c:pt idx="13">
                  <c:v>0.83206558666466413</c:v>
                </c:pt>
                <c:pt idx="14">
                  <c:v>0.82055725706882254</c:v>
                </c:pt>
                <c:pt idx="15">
                  <c:v>0.80920809960100692</c:v>
                </c:pt>
                <c:pt idx="16">
                  <c:v>0.79801591274568617</c:v>
                </c:pt>
                <c:pt idx="17">
                  <c:v>0.78697852543657143</c:v>
                </c:pt>
                <c:pt idx="18">
                  <c:v>0.77609379663547085</c:v>
                </c:pt>
                <c:pt idx="19">
                  <c:v>0.76535961491697058</c:v>
                </c:pt>
                <c:pt idx="20">
                  <c:v>0.75477389805885875</c:v>
                </c:pt>
                <c:pt idx="21">
                  <c:v>0.74433459263821511</c:v>
                </c:pt>
                <c:pt idx="22">
                  <c:v>0.73403967363308709</c:v>
                </c:pt>
                <c:pt idx="23">
                  <c:v>0.7238871440296748</c:v>
                </c:pt>
                <c:pt idx="24">
                  <c:v>0.7138750344349496</c:v>
                </c:pt>
                <c:pt idx="25">
                  <c:v>0.70400140269462974</c:v>
                </c:pt>
                <c:pt idx="26">
                  <c:v>0.69426433351644024</c:v>
                </c:pt>
                <c:pt idx="27">
                  <c:v>0.68466193809858422</c:v>
                </c:pt>
                <c:pt idx="28">
                  <c:v>0.67519235376335118</c:v>
                </c:pt>
                <c:pt idx="29">
                  <c:v>0.66585374359579441</c:v>
                </c:pt>
                <c:pt idx="30">
                  <c:v>0.65664429608740515</c:v>
                </c:pt>
                <c:pt idx="31">
                  <c:v>0.64756222478471492</c:v>
                </c:pt>
                <c:pt idx="32">
                  <c:v>0.63860576794275881</c:v>
                </c:pt>
                <c:pt idx="33">
                  <c:v>0.62977318818333095</c:v>
                </c:pt>
                <c:pt idx="34">
                  <c:v>0.62106277215796701</c:v>
                </c:pt>
                <c:pt idx="35">
                  <c:v>0.61247283021558807</c:v>
                </c:pt>
                <c:pt idx="36">
                  <c:v>0.60400169607474108</c:v>
                </c:pt>
                <c:pt idx="37">
                  <c:v>0.5956477265003729</c:v>
                </c:pt>
                <c:pt idx="38">
                  <c:v>0.58740930098507438</c:v>
                </c:pt>
                <c:pt idx="39">
                  <c:v>0.57928482143473381</c:v>
                </c:pt>
                <c:pt idx="40">
                  <c:v>0.57127271185853779</c:v>
                </c:pt>
                <c:pt idx="41">
                  <c:v>0.56337141806325919</c:v>
                </c:pt>
                <c:pt idx="42">
                  <c:v>0.5555794073517748</c:v>
                </c:pt>
                <c:pt idx="43">
                  <c:v>0.54789516822575102</c:v>
                </c:pt>
                <c:pt idx="44">
                  <c:v>0.54031721009244316</c:v>
                </c:pt>
                <c:pt idx="45">
                  <c:v>0.53284406297554965</c:v>
                </c:pt>
                <c:pt idx="46">
                  <c:v>0.52547427723006446</c:v>
                </c:pt>
                <c:pt idx="47">
                  <c:v>0.51820642326107513</c:v>
                </c:pt>
                <c:pt idx="48">
                  <c:v>0.51103909124644864</c:v>
                </c:pt>
                <c:pt idx="49">
                  <c:v>0.50397089086335345</c:v>
                </c:pt>
                <c:pt idx="50">
                  <c:v>0.4970004510185641</c:v>
                </c:pt>
                <c:pt idx="51">
                  <c:v>0.49012641958249575</c:v>
                </c:pt>
                <c:pt idx="52">
                  <c:v>0.48334746312691729</c:v>
                </c:pt>
                <c:pt idx="53">
                  <c:v>0.47666226666629236</c:v>
                </c:pt>
                <c:pt idx="54">
                  <c:v>0.47006953340269758</c:v>
                </c:pt>
                <c:pt idx="55">
                  <c:v>0.46356798447426928</c:v>
                </c:pt>
                <c:pt idx="56">
                  <c:v>0.45715635870712901</c:v>
                </c:pt>
                <c:pt idx="57">
                  <c:v>0.45083341237074037</c:v>
                </c:pt>
                <c:pt idx="58">
                  <c:v>0.44459791893664952</c:v>
                </c:pt>
                <c:pt idx="59">
                  <c:v>0.43844866884056272</c:v>
                </c:pt>
                <c:pt idx="60">
                  <c:v>0.43238446924771412</c:v>
                </c:pt>
                <c:pt idx="61">
                  <c:v>0.42640414382147923</c:v>
                </c:pt>
                <c:pt idx="62">
                  <c:v>0.42050653249518855</c:v>
                </c:pt>
                <c:pt idx="63">
                  <c:v>0.41469049124709711</c:v>
                </c:pt>
                <c:pt idx="64">
                  <c:v>0.40895489187846656</c:v>
                </c:pt>
                <c:pt idx="65">
                  <c:v>0.40329862179471665</c:v>
                </c:pt>
                <c:pt idx="66">
                  <c:v>0.39772058378960357</c:v>
                </c:pt>
                <c:pt idx="67">
                  <c:v>0.39221969583238303</c:v>
                </c:pt>
                <c:pt idx="68">
                  <c:v>0.38679489085791779</c:v>
                </c:pt>
                <c:pt idx="69">
                  <c:v>0.38144511655968755</c:v>
                </c:pt>
                <c:pt idx="70">
                  <c:v>0.37616933518566198</c:v>
                </c:pt>
                <c:pt idx="71">
                  <c:v>0.37096652333699709</c:v>
                </c:pt>
                <c:pt idx="72">
                  <c:v>0.36583567176951587</c:v>
                </c:pt>
                <c:pt idx="73">
                  <c:v>0.36077578519793424</c:v>
                </c:pt>
              </c:numCache>
            </c:numRef>
          </c:val>
          <c:smooth val="0"/>
        </c:ser>
        <c:dLbls>
          <c:showLegendKey val="0"/>
          <c:showVal val="0"/>
          <c:showCatName val="0"/>
          <c:showSerName val="0"/>
          <c:showPercent val="0"/>
          <c:showBubbleSize val="0"/>
        </c:dLbls>
        <c:marker val="1"/>
        <c:smooth val="0"/>
        <c:axId val="121105408"/>
        <c:axId val="121438976"/>
      </c:lineChart>
      <c:catAx>
        <c:axId val="121105408"/>
        <c:scaling>
          <c:orientation val="minMax"/>
        </c:scaling>
        <c:delete val="0"/>
        <c:axPos val="b"/>
        <c:numFmt formatCode="General" sourceLinked="1"/>
        <c:majorTickMark val="out"/>
        <c:minorTickMark val="none"/>
        <c:tickLblPos val="nextTo"/>
        <c:crossAx val="121438976"/>
        <c:crosses val="autoZero"/>
        <c:auto val="1"/>
        <c:lblAlgn val="ctr"/>
        <c:lblOffset val="100"/>
        <c:noMultiLvlLbl val="0"/>
      </c:catAx>
      <c:valAx>
        <c:axId val="121438976"/>
        <c:scaling>
          <c:orientation val="minMax"/>
          <c:max val="1"/>
        </c:scaling>
        <c:delete val="0"/>
        <c:axPos val="l"/>
        <c:majorGridlines/>
        <c:numFmt formatCode="General" sourceLinked="1"/>
        <c:majorTickMark val="out"/>
        <c:minorTickMark val="none"/>
        <c:tickLblPos val="nextTo"/>
        <c:crossAx val="121105408"/>
        <c:crosses val="autoZero"/>
        <c:crossBetween val="between"/>
      </c:valAx>
    </c:plotArea>
    <c:legend>
      <c:legendPos val="r"/>
      <c:layout/>
      <c:overlay val="0"/>
    </c:legend>
    <c:plotVisOnly val="1"/>
    <c:dispBlanksAs val="gap"/>
    <c:showDLblsOverMax val="0"/>
  </c:chart>
  <c:printSettings>
    <c:headerFooter/>
    <c:pageMargins b="0.75" l="0.7" r="0.7" t="0.75" header="0.3" footer="0.3"/>
    <c:pageSetup/>
  </c:printSettings>
</c:chartSpace>
</file>

<file path=xl/charts/chart154.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pt-PT"/>
              <a:t>Moinho de Cimento 2</a:t>
            </a:r>
            <a:r>
              <a:rPr lang="pt-PT" baseline="0"/>
              <a:t> - Chaminé</a:t>
            </a:r>
            <a:endParaRPr lang="pt-PT"/>
          </a:p>
        </c:rich>
      </c:tx>
      <c:layout/>
      <c:overlay val="0"/>
    </c:title>
    <c:autoTitleDeleted val="0"/>
    <c:plotArea>
      <c:layout/>
      <c:lineChart>
        <c:grouping val="standard"/>
        <c:varyColors val="0"/>
        <c:ser>
          <c:idx val="0"/>
          <c:order val="0"/>
          <c:tx>
            <c:v>2013</c:v>
          </c:tx>
          <c:marker>
            <c:symbol val="none"/>
          </c:marker>
          <c:val>
            <c:numRef>
              <c:f>'Moinhos - Total - Exponencial'!$AL$6:$AL$79</c:f>
              <c:numCache>
                <c:formatCode>General</c:formatCode>
                <c:ptCount val="74"/>
                <c:pt idx="0">
                  <c:v>0.99721836062779279</c:v>
                </c:pt>
                <c:pt idx="1">
                  <c:v>0.98342579696807908</c:v>
                </c:pt>
                <c:pt idx="2">
                  <c:v>0.96982399876136749</c:v>
                </c:pt>
                <c:pt idx="3">
                  <c:v>0.95641032752369259</c:v>
                </c:pt>
                <c:pt idx="4">
                  <c:v>0.94318218126405728</c:v>
                </c:pt>
                <c:pt idx="5">
                  <c:v>0.93013699397969707</c:v>
                </c:pt>
                <c:pt idx="6">
                  <c:v>0.9172722351583259</c:v>
                </c:pt>
                <c:pt idx="7">
                  <c:v>0.9045854092872655</c:v>
                </c:pt>
                <c:pt idx="8">
                  <c:v>0.89207405536936502</c:v>
                </c:pt>
                <c:pt idx="9">
                  <c:v>0.87973574644561525</c:v>
                </c:pt>
                <c:pt idx="10">
                  <c:v>0.867568089124366</c:v>
                </c:pt>
                <c:pt idx="11">
                  <c:v>0.85556872311705456</c:v>
                </c:pt>
                <c:pt idx="12">
                  <c:v>0.84373532078035562</c:v>
                </c:pt>
                <c:pt idx="13">
                  <c:v>0.83206558666466413</c:v>
                </c:pt>
                <c:pt idx="14">
                  <c:v>0.82055725706882254</c:v>
                </c:pt>
                <c:pt idx="15">
                  <c:v>0.80920809960100692</c:v>
                </c:pt>
                <c:pt idx="16">
                  <c:v>0.79801591274568617</c:v>
                </c:pt>
                <c:pt idx="17">
                  <c:v>0.78697852543657143</c:v>
                </c:pt>
                <c:pt idx="18">
                  <c:v>0.77609379663547085</c:v>
                </c:pt>
                <c:pt idx="19">
                  <c:v>0.76535961491697058</c:v>
                </c:pt>
                <c:pt idx="20">
                  <c:v>0.75477389805885875</c:v>
                </c:pt>
                <c:pt idx="21">
                  <c:v>0.74433459263821511</c:v>
                </c:pt>
                <c:pt idx="22">
                  <c:v>0.73403967363308709</c:v>
                </c:pt>
                <c:pt idx="23">
                  <c:v>0.7238871440296748</c:v>
                </c:pt>
                <c:pt idx="24">
                  <c:v>0.7138750344349496</c:v>
                </c:pt>
                <c:pt idx="25">
                  <c:v>0.70400140269462974</c:v>
                </c:pt>
                <c:pt idx="26">
                  <c:v>0.69426433351644024</c:v>
                </c:pt>
                <c:pt idx="27">
                  <c:v>0.68466193809858422</c:v>
                </c:pt>
                <c:pt idx="28">
                  <c:v>0.67519235376335118</c:v>
                </c:pt>
                <c:pt idx="29">
                  <c:v>0.66585374359579441</c:v>
                </c:pt>
                <c:pt idx="30">
                  <c:v>0.65664429608740515</c:v>
                </c:pt>
                <c:pt idx="31">
                  <c:v>0.64756222478471492</c:v>
                </c:pt>
                <c:pt idx="32">
                  <c:v>0.63860576794275881</c:v>
                </c:pt>
                <c:pt idx="33">
                  <c:v>0.62977318818333095</c:v>
                </c:pt>
                <c:pt idx="34">
                  <c:v>0.62106277215796701</c:v>
                </c:pt>
                <c:pt idx="35">
                  <c:v>0.61247283021558807</c:v>
                </c:pt>
                <c:pt idx="36">
                  <c:v>0.60400169607474108</c:v>
                </c:pt>
                <c:pt idx="37">
                  <c:v>0.5956477265003729</c:v>
                </c:pt>
                <c:pt idx="38">
                  <c:v>0.58740930098507438</c:v>
                </c:pt>
                <c:pt idx="39">
                  <c:v>0.57928482143473381</c:v>
                </c:pt>
                <c:pt idx="40">
                  <c:v>0.57127271185853779</c:v>
                </c:pt>
                <c:pt idx="41">
                  <c:v>0.56337141806325919</c:v>
                </c:pt>
                <c:pt idx="42">
                  <c:v>0.5555794073517748</c:v>
                </c:pt>
                <c:pt idx="43">
                  <c:v>0.54789516822575102</c:v>
                </c:pt>
                <c:pt idx="44">
                  <c:v>0.54031721009244316</c:v>
                </c:pt>
                <c:pt idx="45">
                  <c:v>0.53284406297554965</c:v>
                </c:pt>
                <c:pt idx="46">
                  <c:v>0.52547427723006446</c:v>
                </c:pt>
                <c:pt idx="47">
                  <c:v>0.51820642326107513</c:v>
                </c:pt>
                <c:pt idx="48">
                  <c:v>0.51103909124644864</c:v>
                </c:pt>
                <c:pt idx="49">
                  <c:v>0.50397089086335345</c:v>
                </c:pt>
                <c:pt idx="50">
                  <c:v>0.4970004510185641</c:v>
                </c:pt>
                <c:pt idx="51">
                  <c:v>0.49012641958249575</c:v>
                </c:pt>
                <c:pt idx="52">
                  <c:v>0.48334746312691729</c:v>
                </c:pt>
                <c:pt idx="53">
                  <c:v>0.47666226666629236</c:v>
                </c:pt>
                <c:pt idx="54">
                  <c:v>0.47006953340269758</c:v>
                </c:pt>
                <c:pt idx="55">
                  <c:v>0.46356798447426928</c:v>
                </c:pt>
                <c:pt idx="56">
                  <c:v>0.45715635870712901</c:v>
                </c:pt>
                <c:pt idx="57">
                  <c:v>0.45083341237074037</c:v>
                </c:pt>
                <c:pt idx="58">
                  <c:v>0.44459791893664952</c:v>
                </c:pt>
                <c:pt idx="59">
                  <c:v>0.43844866884056272</c:v>
                </c:pt>
                <c:pt idx="60">
                  <c:v>0.43238446924771412</c:v>
                </c:pt>
                <c:pt idx="61">
                  <c:v>0.42640414382147923</c:v>
                </c:pt>
                <c:pt idx="62">
                  <c:v>0.42050653249518855</c:v>
                </c:pt>
                <c:pt idx="63">
                  <c:v>0.41469049124709711</c:v>
                </c:pt>
                <c:pt idx="64">
                  <c:v>0.40895489187846656</c:v>
                </c:pt>
                <c:pt idx="65">
                  <c:v>0.40329862179471665</c:v>
                </c:pt>
                <c:pt idx="66">
                  <c:v>0.39772058378960357</c:v>
                </c:pt>
                <c:pt idx="67">
                  <c:v>0.39221969583238303</c:v>
                </c:pt>
                <c:pt idx="68">
                  <c:v>0.38679489085791779</c:v>
                </c:pt>
                <c:pt idx="69">
                  <c:v>0.38144511655968755</c:v>
                </c:pt>
                <c:pt idx="70">
                  <c:v>0.37616933518566198</c:v>
                </c:pt>
                <c:pt idx="71">
                  <c:v>0.37096652333699709</c:v>
                </c:pt>
                <c:pt idx="72">
                  <c:v>0.36583567176951587</c:v>
                </c:pt>
                <c:pt idx="73">
                  <c:v>0.36077578519793424</c:v>
                </c:pt>
              </c:numCache>
            </c:numRef>
          </c:val>
          <c:smooth val="0"/>
        </c:ser>
        <c:dLbls>
          <c:showLegendKey val="0"/>
          <c:showVal val="0"/>
          <c:showCatName val="0"/>
          <c:showSerName val="0"/>
          <c:showPercent val="0"/>
          <c:showBubbleSize val="0"/>
        </c:dLbls>
        <c:marker val="1"/>
        <c:smooth val="0"/>
        <c:axId val="121496320"/>
        <c:axId val="121497856"/>
      </c:lineChart>
      <c:catAx>
        <c:axId val="121496320"/>
        <c:scaling>
          <c:orientation val="minMax"/>
        </c:scaling>
        <c:delete val="0"/>
        <c:axPos val="b"/>
        <c:numFmt formatCode="General" sourceLinked="1"/>
        <c:majorTickMark val="out"/>
        <c:minorTickMark val="none"/>
        <c:tickLblPos val="nextTo"/>
        <c:crossAx val="121497856"/>
        <c:crosses val="autoZero"/>
        <c:auto val="1"/>
        <c:lblAlgn val="ctr"/>
        <c:lblOffset val="100"/>
        <c:noMultiLvlLbl val="0"/>
      </c:catAx>
      <c:valAx>
        <c:axId val="121497856"/>
        <c:scaling>
          <c:orientation val="minMax"/>
          <c:max val="1"/>
        </c:scaling>
        <c:delete val="0"/>
        <c:axPos val="l"/>
        <c:majorGridlines/>
        <c:numFmt formatCode="General" sourceLinked="1"/>
        <c:majorTickMark val="out"/>
        <c:minorTickMark val="none"/>
        <c:tickLblPos val="nextTo"/>
        <c:crossAx val="121496320"/>
        <c:crosses val="autoZero"/>
        <c:crossBetween val="between"/>
      </c:valAx>
    </c:plotArea>
    <c:legend>
      <c:legendPos val="r"/>
      <c:layout/>
      <c:overlay val="0"/>
    </c:legend>
    <c:plotVisOnly val="1"/>
    <c:dispBlanksAs val="gap"/>
    <c:showDLblsOverMax val="0"/>
  </c:chart>
  <c:printSettings>
    <c:headerFooter/>
    <c:pageMargins b="0.75" l="0.7" r="0.7" t="0.75" header="0.3" footer="0.3"/>
    <c:pageSetup/>
  </c:printSettings>
</c:chartSpace>
</file>

<file path=xl/charts/chart155.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pt-PT"/>
              <a:t>Moinho de Cimento 3</a:t>
            </a:r>
            <a:r>
              <a:rPr lang="pt-PT" baseline="0"/>
              <a:t> - Chaminé</a:t>
            </a:r>
            <a:endParaRPr lang="pt-PT"/>
          </a:p>
        </c:rich>
      </c:tx>
      <c:layout/>
      <c:overlay val="0"/>
    </c:title>
    <c:autoTitleDeleted val="0"/>
    <c:plotArea>
      <c:layout/>
      <c:lineChart>
        <c:grouping val="standard"/>
        <c:varyColors val="0"/>
        <c:ser>
          <c:idx val="0"/>
          <c:order val="0"/>
          <c:tx>
            <c:v>2011</c:v>
          </c:tx>
          <c:marker>
            <c:symbol val="none"/>
          </c:marker>
          <c:val>
            <c:numRef>
              <c:f>'Moinhos - Total - Exponencial'!$AM$6:$AM$79</c:f>
              <c:numCache>
                <c:formatCode>General</c:formatCode>
                <c:ptCount val="74"/>
                <c:pt idx="0">
                  <c:v>0.99721836062779279</c:v>
                </c:pt>
                <c:pt idx="1">
                  <c:v>0.98342579696807908</c:v>
                </c:pt>
                <c:pt idx="2">
                  <c:v>0.96982399876136749</c:v>
                </c:pt>
                <c:pt idx="3">
                  <c:v>0.95641032752369259</c:v>
                </c:pt>
                <c:pt idx="4">
                  <c:v>0.94318218126405728</c:v>
                </c:pt>
                <c:pt idx="5">
                  <c:v>0.93013699397969707</c:v>
                </c:pt>
                <c:pt idx="6">
                  <c:v>0.9172722351583259</c:v>
                </c:pt>
                <c:pt idx="7">
                  <c:v>0.9045854092872655</c:v>
                </c:pt>
                <c:pt idx="8">
                  <c:v>0.89207405536936502</c:v>
                </c:pt>
                <c:pt idx="9">
                  <c:v>0.87973574644561525</c:v>
                </c:pt>
                <c:pt idx="10">
                  <c:v>0.867568089124366</c:v>
                </c:pt>
                <c:pt idx="11">
                  <c:v>0.85556872311705456</c:v>
                </c:pt>
                <c:pt idx="12">
                  <c:v>0.84373532078035562</c:v>
                </c:pt>
                <c:pt idx="13">
                  <c:v>0.83206558666466413</c:v>
                </c:pt>
                <c:pt idx="14">
                  <c:v>0.82055725706882254</c:v>
                </c:pt>
                <c:pt idx="15">
                  <c:v>0.80920809960100692</c:v>
                </c:pt>
                <c:pt idx="16">
                  <c:v>0.79801591274568617</c:v>
                </c:pt>
                <c:pt idx="17">
                  <c:v>0.78697852543657143</c:v>
                </c:pt>
                <c:pt idx="18">
                  <c:v>0.77609379663547085</c:v>
                </c:pt>
                <c:pt idx="19">
                  <c:v>0.76535961491697058</c:v>
                </c:pt>
                <c:pt idx="20">
                  <c:v>0.75477389805885875</c:v>
                </c:pt>
                <c:pt idx="21">
                  <c:v>0.74433459263821511</c:v>
                </c:pt>
                <c:pt idx="22">
                  <c:v>0.73403967363308709</c:v>
                </c:pt>
                <c:pt idx="23">
                  <c:v>0.7238871440296748</c:v>
                </c:pt>
                <c:pt idx="24">
                  <c:v>0.7138750344349496</c:v>
                </c:pt>
                <c:pt idx="25">
                  <c:v>0.70400140269462974</c:v>
                </c:pt>
                <c:pt idx="26">
                  <c:v>0.69426433351644024</c:v>
                </c:pt>
                <c:pt idx="27">
                  <c:v>0.68466193809858422</c:v>
                </c:pt>
                <c:pt idx="28">
                  <c:v>0.67519235376335118</c:v>
                </c:pt>
                <c:pt idx="29">
                  <c:v>0.66585374359579441</c:v>
                </c:pt>
                <c:pt idx="30">
                  <c:v>0.65664429608740515</c:v>
                </c:pt>
                <c:pt idx="31">
                  <c:v>0.64756222478471492</c:v>
                </c:pt>
                <c:pt idx="32">
                  <c:v>0.63860576794275881</c:v>
                </c:pt>
                <c:pt idx="33">
                  <c:v>0.62977318818333095</c:v>
                </c:pt>
                <c:pt idx="34">
                  <c:v>0.62106277215796701</c:v>
                </c:pt>
                <c:pt idx="35">
                  <c:v>0.61247283021558807</c:v>
                </c:pt>
                <c:pt idx="36">
                  <c:v>0.60400169607474108</c:v>
                </c:pt>
                <c:pt idx="37">
                  <c:v>0.5956477265003729</c:v>
                </c:pt>
                <c:pt idx="38">
                  <c:v>0.58740930098507438</c:v>
                </c:pt>
                <c:pt idx="39">
                  <c:v>0.57928482143473381</c:v>
                </c:pt>
                <c:pt idx="40">
                  <c:v>0.57127271185853779</c:v>
                </c:pt>
                <c:pt idx="41">
                  <c:v>0.56337141806325919</c:v>
                </c:pt>
                <c:pt idx="42">
                  <c:v>0.5555794073517748</c:v>
                </c:pt>
                <c:pt idx="43">
                  <c:v>0.54789516822575102</c:v>
                </c:pt>
                <c:pt idx="44">
                  <c:v>0.54031721009244316</c:v>
                </c:pt>
                <c:pt idx="45">
                  <c:v>0.53284406297554965</c:v>
                </c:pt>
                <c:pt idx="46">
                  <c:v>0.52547427723006446</c:v>
                </c:pt>
                <c:pt idx="47">
                  <c:v>0.51820642326107513</c:v>
                </c:pt>
                <c:pt idx="48">
                  <c:v>0.51103909124644864</c:v>
                </c:pt>
                <c:pt idx="49">
                  <c:v>0.50397089086335345</c:v>
                </c:pt>
                <c:pt idx="50">
                  <c:v>0.4970004510185641</c:v>
                </c:pt>
                <c:pt idx="51">
                  <c:v>0.49012641958249575</c:v>
                </c:pt>
                <c:pt idx="52">
                  <c:v>0.48334746312691729</c:v>
                </c:pt>
                <c:pt idx="53">
                  <c:v>0.47666226666629236</c:v>
                </c:pt>
                <c:pt idx="54">
                  <c:v>0.47006953340269758</c:v>
                </c:pt>
                <c:pt idx="55">
                  <c:v>0.46356798447426928</c:v>
                </c:pt>
                <c:pt idx="56">
                  <c:v>0.45715635870712901</c:v>
                </c:pt>
                <c:pt idx="57">
                  <c:v>0.45083341237074037</c:v>
                </c:pt>
                <c:pt idx="58">
                  <c:v>0.44459791893664952</c:v>
                </c:pt>
                <c:pt idx="59">
                  <c:v>0.43844866884056272</c:v>
                </c:pt>
                <c:pt idx="60">
                  <c:v>0.43238446924771412</c:v>
                </c:pt>
                <c:pt idx="61">
                  <c:v>0.42640414382147923</c:v>
                </c:pt>
                <c:pt idx="62">
                  <c:v>0.42050653249518855</c:v>
                </c:pt>
                <c:pt idx="63">
                  <c:v>0.41469049124709711</c:v>
                </c:pt>
                <c:pt idx="64">
                  <c:v>0.40895489187846656</c:v>
                </c:pt>
                <c:pt idx="65">
                  <c:v>0.40329862179471665</c:v>
                </c:pt>
                <c:pt idx="66">
                  <c:v>0.39772058378960357</c:v>
                </c:pt>
                <c:pt idx="67">
                  <c:v>0.39221969583238303</c:v>
                </c:pt>
                <c:pt idx="68">
                  <c:v>0.38679489085791779</c:v>
                </c:pt>
                <c:pt idx="69">
                  <c:v>0.38144511655968755</c:v>
                </c:pt>
                <c:pt idx="70">
                  <c:v>0.37616933518566198</c:v>
                </c:pt>
                <c:pt idx="71">
                  <c:v>0.37096652333699709</c:v>
                </c:pt>
                <c:pt idx="72">
                  <c:v>0.36583567176951587</c:v>
                </c:pt>
                <c:pt idx="73">
                  <c:v>0.36077578519793424</c:v>
                </c:pt>
              </c:numCache>
            </c:numRef>
          </c:val>
          <c:smooth val="0"/>
        </c:ser>
        <c:ser>
          <c:idx val="1"/>
          <c:order val="1"/>
          <c:tx>
            <c:v>2012</c:v>
          </c:tx>
          <c:marker>
            <c:symbol val="none"/>
          </c:marker>
          <c:val>
            <c:numRef>
              <c:f>'Moinhos - Total - Exponencial'!$AN$6:$AN$79</c:f>
              <c:numCache>
                <c:formatCode>General</c:formatCode>
                <c:ptCount val="74"/>
                <c:pt idx="0">
                  <c:v>0.99721836062779279</c:v>
                </c:pt>
                <c:pt idx="1">
                  <c:v>0.98342579696807908</c:v>
                </c:pt>
                <c:pt idx="2">
                  <c:v>0.96982399876136749</c:v>
                </c:pt>
                <c:pt idx="3">
                  <c:v>0.95641032752369259</c:v>
                </c:pt>
                <c:pt idx="4">
                  <c:v>0.94318218126405728</c:v>
                </c:pt>
                <c:pt idx="5">
                  <c:v>0.93013699397969707</c:v>
                </c:pt>
                <c:pt idx="6">
                  <c:v>0.9172722351583259</c:v>
                </c:pt>
                <c:pt idx="7">
                  <c:v>0.9045854092872655</c:v>
                </c:pt>
                <c:pt idx="8">
                  <c:v>0.89207405536936502</c:v>
                </c:pt>
                <c:pt idx="9">
                  <c:v>0.87973574644561525</c:v>
                </c:pt>
                <c:pt idx="10">
                  <c:v>0.867568089124366</c:v>
                </c:pt>
                <c:pt idx="11">
                  <c:v>0.85556872311705456</c:v>
                </c:pt>
                <c:pt idx="12">
                  <c:v>0.84373532078035562</c:v>
                </c:pt>
                <c:pt idx="13">
                  <c:v>0.83206558666466413</c:v>
                </c:pt>
                <c:pt idx="14">
                  <c:v>0.82055725706882254</c:v>
                </c:pt>
                <c:pt idx="15">
                  <c:v>0.80920809960100692</c:v>
                </c:pt>
                <c:pt idx="16">
                  <c:v>0.79801591274568617</c:v>
                </c:pt>
                <c:pt idx="17">
                  <c:v>0.78697852543657143</c:v>
                </c:pt>
                <c:pt idx="18">
                  <c:v>0.77609379663547085</c:v>
                </c:pt>
                <c:pt idx="19">
                  <c:v>0.76535961491697058</c:v>
                </c:pt>
                <c:pt idx="20">
                  <c:v>0.75477389805885875</c:v>
                </c:pt>
                <c:pt idx="21">
                  <c:v>0.74433459263821511</c:v>
                </c:pt>
                <c:pt idx="22">
                  <c:v>0.73403967363308709</c:v>
                </c:pt>
                <c:pt idx="23">
                  <c:v>0.7238871440296748</c:v>
                </c:pt>
                <c:pt idx="24">
                  <c:v>0.7138750344349496</c:v>
                </c:pt>
                <c:pt idx="25">
                  <c:v>0.70400140269462974</c:v>
                </c:pt>
                <c:pt idx="26">
                  <c:v>0.69426433351644024</c:v>
                </c:pt>
                <c:pt idx="27">
                  <c:v>0.68466193809858422</c:v>
                </c:pt>
                <c:pt idx="28">
                  <c:v>0.67519235376335118</c:v>
                </c:pt>
                <c:pt idx="29">
                  <c:v>0.66585374359579441</c:v>
                </c:pt>
                <c:pt idx="30">
                  <c:v>0.65664429608740515</c:v>
                </c:pt>
                <c:pt idx="31">
                  <c:v>0.64756222478471492</c:v>
                </c:pt>
                <c:pt idx="32">
                  <c:v>0.63860576794275881</c:v>
                </c:pt>
                <c:pt idx="33">
                  <c:v>0.62977318818333095</c:v>
                </c:pt>
                <c:pt idx="34">
                  <c:v>0.62106277215796701</c:v>
                </c:pt>
                <c:pt idx="35">
                  <c:v>0.61247283021558807</c:v>
                </c:pt>
                <c:pt idx="36">
                  <c:v>0.60400169607474108</c:v>
                </c:pt>
                <c:pt idx="37">
                  <c:v>0.5956477265003729</c:v>
                </c:pt>
                <c:pt idx="38">
                  <c:v>0.58740930098507438</c:v>
                </c:pt>
                <c:pt idx="39">
                  <c:v>0.57928482143473381</c:v>
                </c:pt>
                <c:pt idx="40">
                  <c:v>0.57127271185853779</c:v>
                </c:pt>
                <c:pt idx="41">
                  <c:v>0.56337141806325919</c:v>
                </c:pt>
                <c:pt idx="42">
                  <c:v>0.5555794073517748</c:v>
                </c:pt>
                <c:pt idx="43">
                  <c:v>0.54789516822575102</c:v>
                </c:pt>
                <c:pt idx="44">
                  <c:v>0.54031721009244316</c:v>
                </c:pt>
                <c:pt idx="45">
                  <c:v>0.53284406297554965</c:v>
                </c:pt>
                <c:pt idx="46">
                  <c:v>0.52547427723006446</c:v>
                </c:pt>
                <c:pt idx="47">
                  <c:v>0.51820642326107513</c:v>
                </c:pt>
                <c:pt idx="48">
                  <c:v>0.51103909124644864</c:v>
                </c:pt>
                <c:pt idx="49">
                  <c:v>0.50397089086335345</c:v>
                </c:pt>
                <c:pt idx="50">
                  <c:v>0.4970004510185641</c:v>
                </c:pt>
                <c:pt idx="51">
                  <c:v>0.49012641958249575</c:v>
                </c:pt>
                <c:pt idx="52">
                  <c:v>0.48334746312691729</c:v>
                </c:pt>
                <c:pt idx="53">
                  <c:v>0.47666226666629236</c:v>
                </c:pt>
                <c:pt idx="54">
                  <c:v>0.47006953340269758</c:v>
                </c:pt>
                <c:pt idx="55">
                  <c:v>0.46356798447426928</c:v>
                </c:pt>
                <c:pt idx="56">
                  <c:v>0.45715635870712901</c:v>
                </c:pt>
                <c:pt idx="57">
                  <c:v>0.45083341237074037</c:v>
                </c:pt>
                <c:pt idx="58">
                  <c:v>0.44459791893664952</c:v>
                </c:pt>
                <c:pt idx="59">
                  <c:v>0.43844866884056272</c:v>
                </c:pt>
                <c:pt idx="60">
                  <c:v>0.43238446924771412</c:v>
                </c:pt>
                <c:pt idx="61">
                  <c:v>0.42640414382147923</c:v>
                </c:pt>
                <c:pt idx="62">
                  <c:v>0.42050653249518855</c:v>
                </c:pt>
                <c:pt idx="63">
                  <c:v>0.41469049124709711</c:v>
                </c:pt>
                <c:pt idx="64">
                  <c:v>0.40895489187846656</c:v>
                </c:pt>
                <c:pt idx="65">
                  <c:v>0.40329862179471665</c:v>
                </c:pt>
                <c:pt idx="66">
                  <c:v>0.39772058378960357</c:v>
                </c:pt>
                <c:pt idx="67">
                  <c:v>0.39221969583238303</c:v>
                </c:pt>
                <c:pt idx="68">
                  <c:v>0.38679489085791779</c:v>
                </c:pt>
                <c:pt idx="69">
                  <c:v>0.38144511655968755</c:v>
                </c:pt>
                <c:pt idx="70">
                  <c:v>0.37616933518566198</c:v>
                </c:pt>
                <c:pt idx="71">
                  <c:v>0.37096652333699709</c:v>
                </c:pt>
                <c:pt idx="72">
                  <c:v>0.36583567176951587</c:v>
                </c:pt>
                <c:pt idx="73">
                  <c:v>0.36077578519793424</c:v>
                </c:pt>
              </c:numCache>
            </c:numRef>
          </c:val>
          <c:smooth val="0"/>
        </c:ser>
        <c:ser>
          <c:idx val="2"/>
          <c:order val="2"/>
          <c:tx>
            <c:v>2013</c:v>
          </c:tx>
          <c:marker>
            <c:symbol val="none"/>
          </c:marker>
          <c:val>
            <c:numRef>
              <c:f>'Moinhos - Total - Exponencial'!$AO$6:$AO$79</c:f>
              <c:numCache>
                <c:formatCode>General</c:formatCode>
                <c:ptCount val="74"/>
                <c:pt idx="0">
                  <c:v>0.99721836062779279</c:v>
                </c:pt>
                <c:pt idx="1">
                  <c:v>0.98342579696807908</c:v>
                </c:pt>
                <c:pt idx="2">
                  <c:v>0.96982399876136749</c:v>
                </c:pt>
                <c:pt idx="3">
                  <c:v>0.95641032752369259</c:v>
                </c:pt>
                <c:pt idx="4">
                  <c:v>0.94318218126405728</c:v>
                </c:pt>
                <c:pt idx="5">
                  <c:v>0.93013699397969707</c:v>
                </c:pt>
                <c:pt idx="6">
                  <c:v>0.9172722351583259</c:v>
                </c:pt>
                <c:pt idx="7">
                  <c:v>0.9045854092872655</c:v>
                </c:pt>
                <c:pt idx="8">
                  <c:v>0.89207405536936502</c:v>
                </c:pt>
                <c:pt idx="9">
                  <c:v>0.87973574644561525</c:v>
                </c:pt>
                <c:pt idx="10">
                  <c:v>0.867568089124366</c:v>
                </c:pt>
                <c:pt idx="11">
                  <c:v>0.85556872311705456</c:v>
                </c:pt>
                <c:pt idx="12">
                  <c:v>0.84373532078035562</c:v>
                </c:pt>
                <c:pt idx="13">
                  <c:v>0.83206558666466413</c:v>
                </c:pt>
                <c:pt idx="14">
                  <c:v>0.82055725706882254</c:v>
                </c:pt>
                <c:pt idx="15">
                  <c:v>0.80920809960100692</c:v>
                </c:pt>
                <c:pt idx="16">
                  <c:v>0.79801591274568617</c:v>
                </c:pt>
                <c:pt idx="17">
                  <c:v>0.78697852543657143</c:v>
                </c:pt>
                <c:pt idx="18">
                  <c:v>0.77609379663547085</c:v>
                </c:pt>
                <c:pt idx="19">
                  <c:v>0.76535961491697058</c:v>
                </c:pt>
                <c:pt idx="20">
                  <c:v>0.75477389805885875</c:v>
                </c:pt>
                <c:pt idx="21">
                  <c:v>0.74433459263821511</c:v>
                </c:pt>
                <c:pt idx="22">
                  <c:v>0.73403967363308709</c:v>
                </c:pt>
                <c:pt idx="23">
                  <c:v>0.7238871440296748</c:v>
                </c:pt>
                <c:pt idx="24">
                  <c:v>0.7138750344349496</c:v>
                </c:pt>
                <c:pt idx="25">
                  <c:v>0.70400140269462974</c:v>
                </c:pt>
                <c:pt idx="26">
                  <c:v>0.69426433351644024</c:v>
                </c:pt>
                <c:pt idx="27">
                  <c:v>0.68466193809858422</c:v>
                </c:pt>
                <c:pt idx="28">
                  <c:v>0.67519235376335118</c:v>
                </c:pt>
                <c:pt idx="29">
                  <c:v>0.66585374359579441</c:v>
                </c:pt>
                <c:pt idx="30">
                  <c:v>0.65664429608740515</c:v>
                </c:pt>
                <c:pt idx="31">
                  <c:v>0.64756222478471492</c:v>
                </c:pt>
                <c:pt idx="32">
                  <c:v>0.63860576794275881</c:v>
                </c:pt>
                <c:pt idx="33">
                  <c:v>0.62977318818333095</c:v>
                </c:pt>
                <c:pt idx="34">
                  <c:v>0.62106277215796701</c:v>
                </c:pt>
                <c:pt idx="35">
                  <c:v>0.61247283021558807</c:v>
                </c:pt>
                <c:pt idx="36">
                  <c:v>0.60400169607474108</c:v>
                </c:pt>
                <c:pt idx="37">
                  <c:v>0.5956477265003729</c:v>
                </c:pt>
                <c:pt idx="38">
                  <c:v>0.58740930098507438</c:v>
                </c:pt>
                <c:pt idx="39">
                  <c:v>0.57928482143473381</c:v>
                </c:pt>
                <c:pt idx="40">
                  <c:v>0.57127271185853779</c:v>
                </c:pt>
                <c:pt idx="41">
                  <c:v>0.56337141806325919</c:v>
                </c:pt>
                <c:pt idx="42">
                  <c:v>0.5555794073517748</c:v>
                </c:pt>
                <c:pt idx="43">
                  <c:v>0.54789516822575102</c:v>
                </c:pt>
                <c:pt idx="44">
                  <c:v>0.54031721009244316</c:v>
                </c:pt>
                <c:pt idx="45">
                  <c:v>0.53284406297554965</c:v>
                </c:pt>
                <c:pt idx="46">
                  <c:v>0.52547427723006446</c:v>
                </c:pt>
                <c:pt idx="47">
                  <c:v>0.51820642326107513</c:v>
                </c:pt>
                <c:pt idx="48">
                  <c:v>0.51103909124644864</c:v>
                </c:pt>
                <c:pt idx="49">
                  <c:v>0.50397089086335345</c:v>
                </c:pt>
                <c:pt idx="50">
                  <c:v>0.4970004510185641</c:v>
                </c:pt>
                <c:pt idx="51">
                  <c:v>0.49012641958249575</c:v>
                </c:pt>
                <c:pt idx="52">
                  <c:v>0.48334746312691729</c:v>
                </c:pt>
                <c:pt idx="53">
                  <c:v>0.47666226666629236</c:v>
                </c:pt>
                <c:pt idx="54">
                  <c:v>0.47006953340269758</c:v>
                </c:pt>
                <c:pt idx="55">
                  <c:v>0.46356798447426928</c:v>
                </c:pt>
                <c:pt idx="56">
                  <c:v>0.45715635870712901</c:v>
                </c:pt>
                <c:pt idx="57">
                  <c:v>0.45083341237074037</c:v>
                </c:pt>
                <c:pt idx="58">
                  <c:v>0.44459791893664952</c:v>
                </c:pt>
                <c:pt idx="59">
                  <c:v>0.43844866884056272</c:v>
                </c:pt>
                <c:pt idx="60">
                  <c:v>0.43238446924771412</c:v>
                </c:pt>
                <c:pt idx="61">
                  <c:v>0.42640414382147923</c:v>
                </c:pt>
                <c:pt idx="62">
                  <c:v>0.42050653249518855</c:v>
                </c:pt>
                <c:pt idx="63">
                  <c:v>0.41469049124709711</c:v>
                </c:pt>
                <c:pt idx="64">
                  <c:v>0.40895489187846656</c:v>
                </c:pt>
                <c:pt idx="65">
                  <c:v>0.40329862179471665</c:v>
                </c:pt>
                <c:pt idx="66">
                  <c:v>0.39772058378960357</c:v>
                </c:pt>
                <c:pt idx="67">
                  <c:v>0.39221969583238303</c:v>
                </c:pt>
                <c:pt idx="68">
                  <c:v>0.38679489085791779</c:v>
                </c:pt>
                <c:pt idx="69">
                  <c:v>0.38144511655968755</c:v>
                </c:pt>
                <c:pt idx="70">
                  <c:v>0.37616933518566198</c:v>
                </c:pt>
                <c:pt idx="71">
                  <c:v>0.37096652333699709</c:v>
                </c:pt>
                <c:pt idx="72">
                  <c:v>0.36583567176951587</c:v>
                </c:pt>
                <c:pt idx="73">
                  <c:v>0.36077578519793424</c:v>
                </c:pt>
              </c:numCache>
            </c:numRef>
          </c:val>
          <c:smooth val="0"/>
        </c:ser>
        <c:dLbls>
          <c:showLegendKey val="0"/>
          <c:showVal val="0"/>
          <c:showCatName val="0"/>
          <c:showSerName val="0"/>
          <c:showPercent val="0"/>
          <c:showBubbleSize val="0"/>
        </c:dLbls>
        <c:marker val="1"/>
        <c:smooth val="0"/>
        <c:axId val="121638912"/>
        <c:axId val="121640448"/>
      </c:lineChart>
      <c:catAx>
        <c:axId val="121638912"/>
        <c:scaling>
          <c:orientation val="minMax"/>
        </c:scaling>
        <c:delete val="0"/>
        <c:axPos val="b"/>
        <c:numFmt formatCode="General" sourceLinked="1"/>
        <c:majorTickMark val="out"/>
        <c:minorTickMark val="none"/>
        <c:tickLblPos val="nextTo"/>
        <c:crossAx val="121640448"/>
        <c:crosses val="autoZero"/>
        <c:auto val="1"/>
        <c:lblAlgn val="ctr"/>
        <c:lblOffset val="100"/>
        <c:noMultiLvlLbl val="0"/>
      </c:catAx>
      <c:valAx>
        <c:axId val="121640448"/>
        <c:scaling>
          <c:orientation val="minMax"/>
          <c:max val="1"/>
        </c:scaling>
        <c:delete val="0"/>
        <c:axPos val="l"/>
        <c:majorGridlines/>
        <c:numFmt formatCode="General" sourceLinked="1"/>
        <c:majorTickMark val="out"/>
        <c:minorTickMark val="none"/>
        <c:tickLblPos val="nextTo"/>
        <c:crossAx val="121638912"/>
        <c:crosses val="autoZero"/>
        <c:crossBetween val="between"/>
      </c:valAx>
    </c:plotArea>
    <c:legend>
      <c:legendPos val="r"/>
      <c:layout/>
      <c:overlay val="0"/>
    </c:legend>
    <c:plotVisOnly val="1"/>
    <c:dispBlanksAs val="gap"/>
    <c:showDLblsOverMax val="0"/>
  </c:chart>
  <c:printSettings>
    <c:headerFooter/>
    <c:pageMargins b="0.75" l="0.7" r="0.7" t="0.75" header="0.3" footer="0.3"/>
    <c:pageSetup/>
  </c:printSettings>
</c:chartSpace>
</file>

<file path=xl/charts/chart156.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pt-PT"/>
              <a:t>Moinho de Cimento 4</a:t>
            </a:r>
            <a:r>
              <a:rPr lang="pt-PT" baseline="0"/>
              <a:t> - Chaminé</a:t>
            </a:r>
            <a:endParaRPr lang="pt-PT"/>
          </a:p>
        </c:rich>
      </c:tx>
      <c:layout>
        <c:manualLayout>
          <c:xMode val="edge"/>
          <c:yMode val="edge"/>
          <c:x val="0.28627879283272623"/>
          <c:y val="2.5288192471685188E-2"/>
        </c:manualLayout>
      </c:layout>
      <c:overlay val="0"/>
    </c:title>
    <c:autoTitleDeleted val="0"/>
    <c:plotArea>
      <c:layout/>
      <c:lineChart>
        <c:grouping val="standard"/>
        <c:varyColors val="0"/>
        <c:ser>
          <c:idx val="0"/>
          <c:order val="0"/>
          <c:tx>
            <c:v>2012</c:v>
          </c:tx>
          <c:marker>
            <c:symbol val="none"/>
          </c:marker>
          <c:val>
            <c:numRef>
              <c:f>'Moinhos - Total - Exponencial'!$AP$6:$AP$79</c:f>
              <c:numCache>
                <c:formatCode>General</c:formatCode>
                <c:ptCount val="74"/>
                <c:pt idx="0">
                  <c:v>0.99442898380825406</c:v>
                </c:pt>
                <c:pt idx="1">
                  <c:v>0.96703600252135291</c:v>
                </c:pt>
                <c:pt idx="2">
                  <c:v>0.94039760043115894</c:v>
                </c:pt>
                <c:pt idx="3">
                  <c:v>0.91449299156486641</c:v>
                </c:pt>
                <c:pt idx="4">
                  <c:v>0.88930196252928373</c:v>
                </c:pt>
                <c:pt idx="5">
                  <c:v>0.8648048567383021</c:v>
                </c:pt>
                <c:pt idx="6">
                  <c:v>0.84098255907484076</c:v>
                </c:pt>
                <c:pt idx="7">
                  <c:v>0.81781648097530157</c:v>
                </c:pt>
                <c:pt idx="8">
                  <c:v>0.79528854592489329</c:v>
                </c:pt>
                <c:pt idx="9">
                  <c:v>0.77338117535250839</c:v>
                </c:pt>
                <c:pt idx="10">
                  <c:v>0.752077274914146</c:v>
                </c:pt>
                <c:pt idx="11">
                  <c:v>0.73136022115417709</c:v>
                </c:pt>
                <c:pt idx="12">
                  <c:v>0.71121384853404512</c:v>
                </c:pt>
                <c:pt idx="13">
                  <c:v>0.69162243681827928</c:v>
                </c:pt>
                <c:pt idx="14">
                  <c:v>0.67257069880797882</c:v>
                </c:pt>
                <c:pt idx="15">
                  <c:v>0.65404376841219558</c:v>
                </c:pt>
                <c:pt idx="16">
                  <c:v>0.63602718904790756</c:v>
                </c:pt>
                <c:pt idx="17">
                  <c:v>0.61850690235953287</c:v>
                </c:pt>
                <c:pt idx="18">
                  <c:v>0.60146923724917967</c:v>
                </c:pt>
                <c:pt idx="19">
                  <c:v>0.5849008992090744</c:v>
                </c:pt>
                <c:pt idx="20">
                  <c:v>0.56878895994784373</c:v>
                </c:pt>
                <c:pt idx="21">
                  <c:v>0.5531208473025554</c:v>
                </c:pt>
                <c:pt idx="22">
                  <c:v>0.53788433542864633</c:v>
                </c:pt>
                <c:pt idx="23">
                  <c:v>0.52306753526008321</c:v>
                </c:pt>
                <c:pt idx="24">
                  <c:v>0.50865888523231229</c:v>
                </c:pt>
                <c:pt idx="25">
                  <c:v>0.4946471422607584</c:v>
                </c:pt>
                <c:pt idx="26">
                  <c:v>0.48102137296783437</c:v>
                </c:pt>
                <c:pt idx="27">
                  <c:v>0.46777094515161527</c:v>
                </c:pt>
                <c:pt idx="28">
                  <c:v>0.45488551948951989</c:v>
                </c:pt>
                <c:pt idx="29">
                  <c:v>0.44235504147052696</c:v>
                </c:pt>
                <c:pt idx="30">
                  <c:v>0.43016973354962967</c:v>
                </c:pt>
                <c:pt idx="31">
                  <c:v>0.41832008751840699</c:v>
                </c:pt>
                <c:pt idx="32">
                  <c:v>0.40679685708575891</c:v>
                </c:pt>
                <c:pt idx="33">
                  <c:v>0.39559105066301581</c:v>
                </c:pt>
                <c:pt idx="34">
                  <c:v>0.38469392434779259</c:v>
                </c:pt>
                <c:pt idx="35">
                  <c:v>0.37409697510111256</c:v>
                </c:pt>
                <c:pt idx="36">
                  <c:v>0.36379193411247712</c:v>
                </c:pt>
                <c:pt idx="37">
                  <c:v>0.35377076034770455</c:v>
                </c:pt>
                <c:pt idx="38">
                  <c:v>0.34402563427450272</c:v>
                </c:pt>
                <c:pt idx="39">
                  <c:v>0.33454895176087951</c:v>
                </c:pt>
                <c:pt idx="40">
                  <c:v>0.32533331814163124</c:v>
                </c:pt>
                <c:pt idx="41">
                  <c:v>0.31637154244827759</c:v>
                </c:pt>
                <c:pt idx="42">
                  <c:v>0.30765663179794123</c:v>
                </c:pt>
                <c:pt idx="43">
                  <c:v>0.29918178593679412</c:v>
                </c:pt>
                <c:pt idx="44">
                  <c:v>0.29094039193381266</c:v>
                </c:pt>
                <c:pt idx="45">
                  <c:v>0.28292601902070036</c:v>
                </c:pt>
                <c:pt idx="46">
                  <c:v>0.27513241357395296</c:v>
                </c:pt>
                <c:pt idx="47">
                  <c:v>0.26755349423514935</c:v>
                </c:pt>
                <c:pt idx="48">
                  <c:v>0.26018334716566116</c:v>
                </c:pt>
                <c:pt idx="49">
                  <c:v>0.2530162214320788</c:v>
                </c:pt>
                <c:pt idx="50">
                  <c:v>0.24604652451875172</c:v>
                </c:pt>
                <c:pt idx="51">
                  <c:v>0.23926881796394273</c:v>
                </c:pt>
                <c:pt idx="52">
                  <c:v>0.23267781311619076</c:v>
                </c:pt>
                <c:pt idx="53">
                  <c:v>0.22626836700757058</c:v>
                </c:pt>
                <c:pt idx="54">
                  <c:v>0.22003547834062961</c:v>
                </c:pt>
                <c:pt idx="55">
                  <c:v>0.21397428358587031</c:v>
                </c:pt>
                <c:pt idx="56">
                  <c:v>0.20808005318673303</c:v>
                </c:pt>
                <c:pt idx="57">
                  <c:v>0.2023481878691181</c:v>
                </c:pt>
                <c:pt idx="58">
                  <c:v>0.19677421505256759</c:v>
                </c:pt>
                <c:pt idx="59">
                  <c:v>0.19135378536030612</c:v>
                </c:pt>
                <c:pt idx="60">
                  <c:v>0.1860826692254175</c:v>
                </c:pt>
                <c:pt idx="61">
                  <c:v>0.18095675359050942</c:v>
                </c:pt>
                <c:pt idx="62">
                  <c:v>0.1759720386982904</c:v>
                </c:pt>
                <c:pt idx="63">
                  <c:v>0.17112463497055513</c:v>
                </c:pt>
                <c:pt idx="64">
                  <c:v>0.16641075997314245</c:v>
                </c:pt>
                <c:pt idx="65">
                  <c:v>0.16182673546449816</c:v>
                </c:pt>
                <c:pt idx="66">
                  <c:v>0.15736898452553913</c:v>
                </c:pt>
                <c:pt idx="67">
                  <c:v>0.15303402876857986</c:v>
                </c:pt>
                <c:pt idx="68">
                  <c:v>0.14881848562314282</c:v>
                </c:pt>
                <c:pt idx="69">
                  <c:v>0.14471906569653517</c:v>
                </c:pt>
                <c:pt idx="70">
                  <c:v>0.14073257020713237</c:v>
                </c:pt>
                <c:pt idx="71">
                  <c:v>0.13685588848836538</c:v>
                </c:pt>
                <c:pt idx="72">
                  <c:v>0.13308599556146444</c:v>
                </c:pt>
                <c:pt idx="73">
                  <c:v>0.12941994977506494</c:v>
                </c:pt>
              </c:numCache>
            </c:numRef>
          </c:val>
          <c:smooth val="0"/>
        </c:ser>
        <c:ser>
          <c:idx val="1"/>
          <c:order val="1"/>
          <c:tx>
            <c:v>2013</c:v>
          </c:tx>
          <c:marker>
            <c:symbol val="none"/>
          </c:marker>
          <c:val>
            <c:numRef>
              <c:f>'Moinhos - Total - Exponencial'!$AQ$6:$AQ$79</c:f>
              <c:numCache>
                <c:formatCode>General</c:formatCode>
                <c:ptCount val="74"/>
                <c:pt idx="0">
                  <c:v>0.99163184820119987</c:v>
                </c:pt>
                <c:pt idx="1">
                  <c:v>0.95082983222576778</c:v>
                </c:pt>
                <c:pt idx="2">
                  <c:v>0.91170666965815983</c:v>
                </c:pt>
                <c:pt idx="3">
                  <c:v>0.87419328183406031</c:v>
                </c:pt>
                <c:pt idx="4">
                  <c:v>0.8382234324229999</c:v>
                </c:pt>
                <c:pt idx="5">
                  <c:v>0.80373361047673531</c:v>
                </c:pt>
                <c:pt idx="6">
                  <c:v>0.77066291828975986</c:v>
                </c:pt>
                <c:pt idx="7">
                  <c:v>0.73895296387394338</c:v>
                </c:pt>
                <c:pt idx="8">
                  <c:v>0.70854775785744606</c:v>
                </c:pt>
                <c:pt idx="9">
                  <c:v>0.67939361462586423</c:v>
                </c:pt>
                <c:pt idx="10">
                  <c:v>0.65143905753105558</c:v>
                </c:pt>
                <c:pt idx="11">
                  <c:v>0.62463472800027442</c:v>
                </c:pt>
                <c:pt idx="12">
                  <c:v>0.59893329838513198</c:v>
                </c:pt>
                <c:pt idx="13">
                  <c:v>0.57428938839650279</c:v>
                </c:pt>
                <c:pt idx="14">
                  <c:v>0.55065948497782913</c:v>
                </c:pt>
                <c:pt idx="15">
                  <c:v>0.52800186547534433</c:v>
                </c:pt>
                <c:pt idx="16">
                  <c:v>0.50627652396956024</c:v>
                </c:pt>
                <c:pt idx="17">
                  <c:v>0.48544510063794399</c:v>
                </c:pt>
                <c:pt idx="18">
                  <c:v>0.46547081402406171</c:v>
                </c:pt>
                <c:pt idx="19">
                  <c:v>0.44631839609359841</c:v>
                </c:pt>
                <c:pt idx="20">
                  <c:v>0.42795402996258514</c:v>
                </c:pt>
                <c:pt idx="21">
                  <c:v>0.41034529018788096</c:v>
                </c:pt>
                <c:pt idx="22">
                  <c:v>0.39346108551448272</c:v>
                </c:pt>
                <c:pt idx="23">
                  <c:v>0.37727160397857362</c:v>
                </c:pt>
                <c:pt idx="24">
                  <c:v>0.36174826026937951</c:v>
                </c:pt>
                <c:pt idx="25">
                  <c:v>0.34686364525689234</c:v>
                </c:pt>
                <c:pt idx="26">
                  <c:v>0.33259147759634267</c:v>
                </c:pt>
                <c:pt idx="27">
                  <c:v>0.31890655732397044</c:v>
                </c:pt>
                <c:pt idx="28">
                  <c:v>0.30578472136216034</c:v>
                </c:pt>
                <c:pt idx="29">
                  <c:v>0.29320280085537731</c:v>
                </c:pt>
                <c:pt idx="30">
                  <c:v>0.28113858026157157</c:v>
                </c:pt>
                <c:pt idx="31">
                  <c:v>0.26957075812682357</c:v>
                </c:pt>
                <c:pt idx="32">
                  <c:v>0.25847890947396718</c:v>
                </c:pt>
                <c:pt idx="33">
                  <c:v>0.24784344973878408</c:v>
                </c:pt>
                <c:pt idx="34">
                  <c:v>0.23764560019009123</c:v>
                </c:pt>
                <c:pt idx="35">
                  <c:v>0.22786735477266509</c:v>
                </c:pt>
                <c:pt idx="36">
                  <c:v>0.21849144831445771</c:v>
                </c:pt>
                <c:pt idx="37">
                  <c:v>0.20950132604196997</c:v>
                </c:pt>
                <c:pt idx="38">
                  <c:v>0.20088111434995476</c:v>
                </c:pt>
                <c:pt idx="39">
                  <c:v>0.19261559277384013</c:v>
                </c:pt>
                <c:pt idx="40">
                  <c:v>0.18469016711538452</c:v>
                </c:pt>
                <c:pt idx="41">
                  <c:v>0.17709084367411268</c:v>
                </c:pt>
                <c:pt idx="42">
                  <c:v>0.16980420453903336</c:v>
                </c:pt>
                <c:pt idx="43">
                  <c:v>0.16281738389701275</c:v>
                </c:pt>
                <c:pt idx="44">
                  <c:v>0.15611804531597109</c:v>
                </c:pt>
                <c:pt idx="45">
                  <c:v>0.14969435996279248</c:v>
                </c:pt>
                <c:pt idx="46">
                  <c:v>0.14353498571748824</c:v>
                </c:pt>
                <c:pt idx="47">
                  <c:v>0.13762904714673543</c:v>
                </c:pt>
                <c:pt idx="48">
                  <c:v>0.13196611630143124</c:v>
                </c:pt>
                <c:pt idx="49">
                  <c:v>0.12653619430435736</c:v>
                </c:pt>
                <c:pt idx="50">
                  <c:v>0.12132969369544465</c:v>
                </c:pt>
                <c:pt idx="51">
                  <c:v>0.11633742150346545</c:v>
                </c:pt>
                <c:pt idx="52">
                  <c:v>0.11155056301426348</c:v>
                </c:pt>
                <c:pt idx="53">
                  <c:v>0.10696066620686187</c:v>
                </c:pt>
                <c:pt idx="54">
                  <c:v>0.10255962682996832</c:v>
                </c:pt>
                <c:pt idx="55">
                  <c:v>9.8339674092526932E-2</c:v>
                </c:pt>
                <c:pt idx="56">
                  <c:v>9.4293356943051951E-2</c:v>
                </c:pt>
                <c:pt idx="57">
                  <c:v>9.0413530913516352E-2</c:v>
                </c:pt>
                <c:pt idx="58">
                  <c:v>8.6693345504566074E-2</c:v>
                </c:pt>
                <c:pt idx="59">
                  <c:v>8.3126232089786686E-2</c:v>
                </c:pt>
                <c:pt idx="60">
                  <c:v>7.9705892317665172E-2</c:v>
                </c:pt>
                <c:pt idx="61">
                  <c:v>7.6426286990768116E-2</c:v>
                </c:pt>
                <c:pt idx="62">
                  <c:v>7.3281625402501355E-2</c:v>
                </c:pt>
                <c:pt idx="63">
                  <c:v>7.0266355112622761E-2</c:v>
                </c:pt>
                <c:pt idx="64">
                  <c:v>6.7375152143455019E-2</c:v>
                </c:pt>
                <c:pt idx="65">
                  <c:v>6.4602911579488526E-2</c:v>
                </c:pt>
                <c:pt idx="66">
                  <c:v>6.1944738553776177E-2</c:v>
                </c:pt>
                <c:pt idx="67">
                  <c:v>5.9395939605204784E-2</c:v>
                </c:pt>
                <c:pt idx="68">
                  <c:v>5.6952014391383234E-2</c:v>
                </c:pt>
                <c:pt idx="69">
                  <c:v>5.4608647742515011E-2</c:v>
                </c:pt>
                <c:pt idx="70">
                  <c:v>5.2361702042224491E-2</c:v>
                </c:pt>
                <c:pt idx="71">
                  <c:v>5.0207209921884495E-2</c:v>
                </c:pt>
                <c:pt idx="72">
                  <c:v>4.814136725554554E-2</c:v>
                </c:pt>
                <c:pt idx="73">
                  <c:v>4.6160526443097816E-2</c:v>
                </c:pt>
              </c:numCache>
            </c:numRef>
          </c:val>
          <c:smooth val="0"/>
        </c:ser>
        <c:ser>
          <c:idx val="2"/>
          <c:order val="2"/>
          <c:tx>
            <c:v>2015</c:v>
          </c:tx>
          <c:marker>
            <c:symbol val="none"/>
          </c:marker>
          <c:val>
            <c:numRef>
              <c:f>'Moinhos - Total - Exponencial'!$AR$6:$AR$79</c:f>
              <c:numCache>
                <c:formatCode>General</c:formatCode>
                <c:ptCount val="74"/>
                <c:pt idx="0">
                  <c:v>0.99718706233562282</c:v>
                </c:pt>
                <c:pt idx="1">
                  <c:v>0.98324061907233784</c:v>
                </c:pt>
                <c:pt idx="2">
                  <c:v>0.96948922775772173</c:v>
                </c:pt>
                <c:pt idx="3">
                  <c:v>0.95593016043727319</c:v>
                </c:pt>
                <c:pt idx="4">
                  <c:v>0.94256072730907403</c:v>
                </c:pt>
                <c:pt idx="5">
                  <c:v>0.92937827619019631</c:v>
                </c:pt>
                <c:pt idx="6">
                  <c:v>0.91638019199057019</c:v>
                </c:pt>
                <c:pt idx="7">
                  <c:v>0.90356389619421207</c:v>
                </c:pt>
                <c:pt idx="8">
                  <c:v>0.89092684634770691</c:v>
                </c:pt>
                <c:pt idx="9">
                  <c:v>0.87846653555584486</c:v>
                </c:pt>
                <c:pt idx="10">
                  <c:v>0.86618049198431224</c:v>
                </c:pt>
                <c:pt idx="11">
                  <c:v>0.8540662783693368</c:v>
                </c:pt>
                <c:pt idx="12">
                  <c:v>0.84212149153419236</c:v>
                </c:pt>
                <c:pt idx="13">
                  <c:v>0.83034376191246395</c:v>
                </c:pt>
                <c:pt idx="14">
                  <c:v>0.81873075307798182</c:v>
                </c:pt>
                <c:pt idx="15">
                  <c:v>0.80728016128132896</c:v>
                </c:pt>
                <c:pt idx="16">
                  <c:v>0.79598971499283078</c:v>
                </c:pt>
                <c:pt idx="17">
                  <c:v>0.78485717445193715</c:v>
                </c:pt>
                <c:pt idx="18">
                  <c:v>0.77388033122290611</c:v>
                </c:pt>
                <c:pt idx="19">
                  <c:v>0.76305700775670182</c:v>
                </c:pt>
                <c:pt idx="20">
                  <c:v>0.75238505695901969</c:v>
                </c:pt>
                <c:pt idx="21">
                  <c:v>0.7418623617643535</c:v>
                </c:pt>
                <c:pt idx="22">
                  <c:v>0.73148683471601827</c:v>
                </c:pt>
                <c:pt idx="23">
                  <c:v>0.7212564175520485</c:v>
                </c:pt>
                <c:pt idx="24">
                  <c:v>0.71116908079688679</c:v>
                </c:pt>
                <c:pt idx="25">
                  <c:v>0.70122282335878316</c:v>
                </c:pt>
                <c:pt idx="26">
                  <c:v>0.69141567213282573</c:v>
                </c:pt>
                <c:pt idx="27">
                  <c:v>0.68174568160952198</c:v>
                </c:pt>
                <c:pt idx="28">
                  <c:v>0.67221093348885619</c:v>
                </c:pt>
                <c:pt idx="29">
                  <c:v>0.66280953629974304</c:v>
                </c:pt>
                <c:pt idx="30">
                  <c:v>0.65353962502480367</c:v>
                </c:pt>
                <c:pt idx="31">
                  <c:v>0.6443993607303905</c:v>
                </c:pt>
                <c:pt idx="32">
                  <c:v>0.63538693020178549</c:v>
                </c:pt>
                <c:pt idx="33">
                  <c:v>0.62650054558350055</c:v>
                </c:pt>
                <c:pt idx="34">
                  <c:v>0.61773844402460909</c:v>
                </c:pt>
                <c:pt idx="35">
                  <c:v>0.60909888732903739</c:v>
                </c:pt>
                <c:pt idx="36">
                  <c:v>0.60058016161074745</c:v>
                </c:pt>
                <c:pt idx="37">
                  <c:v>0.59218057695374171</c:v>
                </c:pt>
                <c:pt idx="38">
                  <c:v>0.58389846707682369</c:v>
                </c:pt>
                <c:pt idx="39">
                  <c:v>0.57573218900304624</c:v>
                </c:pt>
                <c:pt idx="40">
                  <c:v>0.56768012273378343</c:v>
                </c:pt>
                <c:pt idx="41">
                  <c:v>0.55974067092736135</c:v>
                </c:pt>
                <c:pt idx="42">
                  <c:v>0.55191225858218174</c:v>
                </c:pt>
                <c:pt idx="43">
                  <c:v>0.54419333272427961</c:v>
                </c:pt>
                <c:pt idx="44">
                  <c:v>0.53658236209924881</c:v>
                </c:pt>
                <c:pt idx="45">
                  <c:v>0.52907783686847731</c:v>
                </c:pt>
                <c:pt idx="46">
                  <c:v>0.52167826830963016</c:v>
                </c:pt>
                <c:pt idx="47">
                  <c:v>0.51438218852132234</c:v>
                </c:pt>
                <c:pt idx="48">
                  <c:v>0.50718815013192076</c:v>
                </c:pt>
                <c:pt idx="49">
                  <c:v>0.50009472601242033</c:v>
                </c:pt>
                <c:pt idx="50">
                  <c:v>0.49310050899333419</c:v>
                </c:pt>
                <c:pt idx="51">
                  <c:v>0.48620411158554483</c:v>
                </c:pt>
                <c:pt idx="52">
                  <c:v>0.47940416570505817</c:v>
                </c:pt>
                <c:pt idx="53">
                  <c:v>0.47269932240160806</c:v>
                </c:pt>
                <c:pt idx="54">
                  <c:v>0.46608825159105588</c:v>
                </c:pt>
                <c:pt idx="55">
                  <c:v>0.45956964179153303</c:v>
                </c:pt>
                <c:pt idx="56">
                  <c:v>0.45314219986327359</c:v>
                </c:pt>
                <c:pt idx="57">
                  <c:v>0.44680465075208559</c:v>
                </c:pt>
                <c:pt idx="58">
                  <c:v>0.44055573723641012</c:v>
                </c:pt>
                <c:pt idx="59">
                  <c:v>0.4343942196779178</c:v>
                </c:pt>
                <c:pt idx="60">
                  <c:v>0.4283188757755938</c:v>
                </c:pt>
                <c:pt idx="61">
                  <c:v>0.42232850032326186</c:v>
                </c:pt>
                <c:pt idx="62">
                  <c:v>0.41642190497049919</c:v>
                </c:pt>
                <c:pt idx="63">
                  <c:v>0.41059791798689604</c:v>
                </c:pt>
                <c:pt idx="64">
                  <c:v>0.40485538402961146</c:v>
                </c:pt>
                <c:pt idx="65">
                  <c:v>0.3991931639141803</c:v>
                </c:pt>
                <c:pt idx="66">
                  <c:v>0.39361013438852588</c:v>
                </c:pt>
                <c:pt idx="67">
                  <c:v>0.38810518791013288</c:v>
                </c:pt>
                <c:pt idx="68">
                  <c:v>0.38267723242633672</c:v>
                </c:pt>
                <c:pt idx="69">
                  <c:v>0.37732519115768598</c:v>
                </c:pt>
                <c:pt idx="70">
                  <c:v>0.37204800238433455</c:v>
                </c:pt>
                <c:pt idx="71">
                  <c:v>0.36684461923542117</c:v>
                </c:pt>
                <c:pt idx="72">
                  <c:v>0.36171400948139465</c:v>
                </c:pt>
                <c:pt idx="73">
                  <c:v>0.35665515532924386</c:v>
                </c:pt>
              </c:numCache>
            </c:numRef>
          </c:val>
          <c:smooth val="0"/>
        </c:ser>
        <c:dLbls>
          <c:showLegendKey val="0"/>
          <c:showVal val="0"/>
          <c:showCatName val="0"/>
          <c:showSerName val="0"/>
          <c:showPercent val="0"/>
          <c:showBubbleSize val="0"/>
        </c:dLbls>
        <c:marker val="1"/>
        <c:smooth val="0"/>
        <c:axId val="121666560"/>
        <c:axId val="121692928"/>
      </c:lineChart>
      <c:catAx>
        <c:axId val="121666560"/>
        <c:scaling>
          <c:orientation val="minMax"/>
        </c:scaling>
        <c:delete val="0"/>
        <c:axPos val="b"/>
        <c:numFmt formatCode="General" sourceLinked="1"/>
        <c:majorTickMark val="out"/>
        <c:minorTickMark val="none"/>
        <c:tickLblPos val="nextTo"/>
        <c:crossAx val="121692928"/>
        <c:crosses val="autoZero"/>
        <c:auto val="1"/>
        <c:lblAlgn val="ctr"/>
        <c:lblOffset val="100"/>
        <c:noMultiLvlLbl val="0"/>
      </c:catAx>
      <c:valAx>
        <c:axId val="121692928"/>
        <c:scaling>
          <c:orientation val="minMax"/>
          <c:max val="1"/>
        </c:scaling>
        <c:delete val="0"/>
        <c:axPos val="l"/>
        <c:majorGridlines/>
        <c:numFmt formatCode="General" sourceLinked="1"/>
        <c:majorTickMark val="out"/>
        <c:minorTickMark val="none"/>
        <c:tickLblPos val="nextTo"/>
        <c:crossAx val="121666560"/>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157.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marker>
            <c:symbol val="none"/>
          </c:marker>
          <c:cat>
            <c:numRef>
              <c:f>'Moinhos - Total - Weibull'!$AL$7:$AL$38</c:f>
              <c:numCache>
                <c:formatCode>General</c:formatCode>
                <c:ptCount val="32"/>
                <c:pt idx="0">
                  <c:v>0</c:v>
                </c:pt>
                <c:pt idx="1">
                  <c:v>10</c:v>
                </c:pt>
                <c:pt idx="2">
                  <c:v>20</c:v>
                </c:pt>
                <c:pt idx="3">
                  <c:v>30</c:v>
                </c:pt>
                <c:pt idx="4">
                  <c:v>40</c:v>
                </c:pt>
                <c:pt idx="5">
                  <c:v>50</c:v>
                </c:pt>
                <c:pt idx="6">
                  <c:v>60</c:v>
                </c:pt>
                <c:pt idx="7">
                  <c:v>70</c:v>
                </c:pt>
                <c:pt idx="8">
                  <c:v>80</c:v>
                </c:pt>
                <c:pt idx="9">
                  <c:v>90</c:v>
                </c:pt>
                <c:pt idx="10">
                  <c:v>100</c:v>
                </c:pt>
                <c:pt idx="11">
                  <c:v>110</c:v>
                </c:pt>
                <c:pt idx="12">
                  <c:v>120</c:v>
                </c:pt>
                <c:pt idx="13">
                  <c:v>130</c:v>
                </c:pt>
                <c:pt idx="14">
                  <c:v>140</c:v>
                </c:pt>
                <c:pt idx="15">
                  <c:v>150</c:v>
                </c:pt>
                <c:pt idx="16">
                  <c:v>160</c:v>
                </c:pt>
                <c:pt idx="17">
                  <c:v>170</c:v>
                </c:pt>
                <c:pt idx="18">
                  <c:v>180</c:v>
                </c:pt>
                <c:pt idx="19">
                  <c:v>190</c:v>
                </c:pt>
                <c:pt idx="20">
                  <c:v>200</c:v>
                </c:pt>
                <c:pt idx="21">
                  <c:v>210</c:v>
                </c:pt>
                <c:pt idx="22">
                  <c:v>220</c:v>
                </c:pt>
                <c:pt idx="23">
                  <c:v>230</c:v>
                </c:pt>
                <c:pt idx="24">
                  <c:v>240</c:v>
                </c:pt>
                <c:pt idx="25">
                  <c:v>250</c:v>
                </c:pt>
                <c:pt idx="26">
                  <c:v>260</c:v>
                </c:pt>
                <c:pt idx="27">
                  <c:v>270</c:v>
                </c:pt>
                <c:pt idx="28">
                  <c:v>280</c:v>
                </c:pt>
                <c:pt idx="29">
                  <c:v>290</c:v>
                </c:pt>
                <c:pt idx="30">
                  <c:v>300</c:v>
                </c:pt>
                <c:pt idx="31">
                  <c:v>310</c:v>
                </c:pt>
              </c:numCache>
            </c:numRef>
          </c:cat>
          <c:val>
            <c:numRef>
              <c:f>'Moinhos - Total - Weibull'!$AM$7:$AM$38</c:f>
              <c:numCache>
                <c:formatCode>General</c:formatCode>
                <c:ptCount val="32"/>
                <c:pt idx="0">
                  <c:v>1</c:v>
                </c:pt>
                <c:pt idx="1">
                  <c:v>0.84789204410822538</c:v>
                </c:pt>
                <c:pt idx="2">
                  <c:v>0.80115462094119783</c:v>
                </c:pt>
                <c:pt idx="3">
                  <c:v>0.76834542823170593</c:v>
                </c:pt>
                <c:pt idx="4">
                  <c:v>0.74238731592449914</c:v>
                </c:pt>
                <c:pt idx="5">
                  <c:v>0.72065110278157174</c:v>
                </c:pt>
                <c:pt idx="6">
                  <c:v>0.70182765820098902</c:v>
                </c:pt>
                <c:pt idx="7">
                  <c:v>0.68515745467489142</c:v>
                </c:pt>
                <c:pt idx="8">
                  <c:v>0.67015540449054356</c:v>
                </c:pt>
                <c:pt idx="9">
                  <c:v>0.65649039696063027</c:v>
                </c:pt>
                <c:pt idx="10">
                  <c:v>0.64392508618521216</c:v>
                </c:pt>
                <c:pt idx="11">
                  <c:v>0.63228281770253059</c:v>
                </c:pt>
                <c:pt idx="12">
                  <c:v>0.62142812602656472</c:v>
                </c:pt>
                <c:pt idx="13">
                  <c:v>0.6112545781494495</c:v>
                </c:pt>
                <c:pt idx="14">
                  <c:v>0.60167684960054657</c:v>
                </c:pt>
                <c:pt idx="15">
                  <c:v>0.59262536568602031</c:v>
                </c:pt>
                <c:pt idx="16">
                  <c:v>0.58404256383801001</c:v>
                </c:pt>
                <c:pt idx="17">
                  <c:v>0.57588021722063321</c:v>
                </c:pt>
                <c:pt idx="18">
                  <c:v>0.56809747433923352</c:v>
                </c:pt>
                <c:pt idx="19">
                  <c:v>0.56065939447417024</c:v>
                </c:pt>
                <c:pt idx="20">
                  <c:v>0.55353583437695342</c:v>
                </c:pt>
                <c:pt idx="21">
                  <c:v>0.54670058886176554</c:v>
                </c:pt>
                <c:pt idx="22">
                  <c:v>0.54013071821772285</c:v>
                </c:pt>
                <c:pt idx="23">
                  <c:v>0.53380601529829252</c:v>
                </c:pt>
                <c:pt idx="24">
                  <c:v>0.52770857855132436</c:v>
                </c:pt>
                <c:pt idx="25">
                  <c:v>0.52182246645257035</c:v>
                </c:pt>
                <c:pt idx="26">
                  <c:v>0.51613341523209533</c:v>
                </c:pt>
                <c:pt idx="27">
                  <c:v>0.51062860634614804</c:v>
                </c:pt>
                <c:pt idx="28">
                  <c:v>0.50529647343559314</c:v>
                </c:pt>
                <c:pt idx="29">
                  <c:v>0.50012654091443165</c:v>
                </c:pt>
                <c:pt idx="30">
                  <c:v>0.49510928810907345</c:v>
                </c:pt>
                <c:pt idx="31">
                  <c:v>0.49023603419890555</c:v>
                </c:pt>
              </c:numCache>
            </c:numRef>
          </c:val>
          <c:smooth val="0"/>
        </c:ser>
        <c:dLbls>
          <c:showLegendKey val="0"/>
          <c:showVal val="0"/>
          <c:showCatName val="0"/>
          <c:showSerName val="0"/>
          <c:showPercent val="0"/>
          <c:showBubbleSize val="0"/>
        </c:dLbls>
        <c:marker val="1"/>
        <c:smooth val="0"/>
        <c:axId val="122332672"/>
        <c:axId val="122334208"/>
      </c:lineChart>
      <c:catAx>
        <c:axId val="122332672"/>
        <c:scaling>
          <c:orientation val="minMax"/>
        </c:scaling>
        <c:delete val="0"/>
        <c:axPos val="b"/>
        <c:numFmt formatCode="General" sourceLinked="1"/>
        <c:majorTickMark val="out"/>
        <c:minorTickMark val="none"/>
        <c:tickLblPos val="nextTo"/>
        <c:crossAx val="122334208"/>
        <c:crosses val="autoZero"/>
        <c:auto val="1"/>
        <c:lblAlgn val="ctr"/>
        <c:lblOffset val="100"/>
        <c:noMultiLvlLbl val="0"/>
      </c:catAx>
      <c:valAx>
        <c:axId val="122334208"/>
        <c:scaling>
          <c:orientation val="minMax"/>
        </c:scaling>
        <c:delete val="0"/>
        <c:axPos val="l"/>
        <c:majorGridlines/>
        <c:numFmt formatCode="General" sourceLinked="1"/>
        <c:majorTickMark val="out"/>
        <c:minorTickMark val="none"/>
        <c:tickLblPos val="nextTo"/>
        <c:crossAx val="122332672"/>
        <c:crosses val="autoZero"/>
        <c:crossBetween val="between"/>
      </c:valAx>
    </c:plotArea>
    <c:plotVisOnly val="1"/>
    <c:dispBlanksAs val="gap"/>
    <c:showDLblsOverMax val="0"/>
  </c:chart>
  <c:printSettings>
    <c:headerFooter/>
    <c:pageMargins b="0.75" l="0.7" r="0.7" t="0.75" header="0.3" footer="0.3"/>
    <c:pageSetup/>
  </c:printSettings>
  <c:userShapes r:id="rId1"/>
</c:chartSpace>
</file>

<file path=xl/charts/chart158.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pt-PT"/>
              <a:t>EQAr</a:t>
            </a:r>
            <a:r>
              <a:rPr lang="pt-PT" baseline="0"/>
              <a:t> - Brasfemes</a:t>
            </a:r>
            <a:endParaRPr lang="pt-PT"/>
          </a:p>
        </c:rich>
      </c:tx>
      <c:overlay val="0"/>
    </c:title>
    <c:autoTitleDeleted val="0"/>
    <c:plotArea>
      <c:layout/>
      <c:lineChart>
        <c:grouping val="standard"/>
        <c:varyColors val="0"/>
        <c:ser>
          <c:idx val="0"/>
          <c:order val="0"/>
          <c:tx>
            <c:v>2011</c:v>
          </c:tx>
          <c:marker>
            <c:symbol val="none"/>
          </c:marker>
          <c:val>
            <c:numRef>
              <c:f>'Postos Urb. ambiente - Exponenc'!$AK$6:$AK$79</c:f>
              <c:numCache>
                <c:formatCode>General</c:formatCode>
                <c:ptCount val="74"/>
                <c:pt idx="0">
                  <c:v>0.99718706233562282</c:v>
                </c:pt>
                <c:pt idx="1">
                  <c:v>0.98324061907233784</c:v>
                </c:pt>
                <c:pt idx="2">
                  <c:v>0.96948922775772173</c:v>
                </c:pt>
                <c:pt idx="3">
                  <c:v>0.95593016043727319</c:v>
                </c:pt>
                <c:pt idx="4">
                  <c:v>0.94256072730907403</c:v>
                </c:pt>
                <c:pt idx="5">
                  <c:v>0.92937827619019631</c:v>
                </c:pt>
                <c:pt idx="6">
                  <c:v>0.91638019199057019</c:v>
                </c:pt>
                <c:pt idx="7">
                  <c:v>0.90356389619421207</c:v>
                </c:pt>
                <c:pt idx="8">
                  <c:v>0.89092684634770691</c:v>
                </c:pt>
                <c:pt idx="9">
                  <c:v>0.87846653555584486</c:v>
                </c:pt>
                <c:pt idx="10">
                  <c:v>0.86618049198431224</c:v>
                </c:pt>
                <c:pt idx="11">
                  <c:v>0.8540662783693368</c:v>
                </c:pt>
                <c:pt idx="12">
                  <c:v>0.84212149153419236</c:v>
                </c:pt>
                <c:pt idx="13">
                  <c:v>0.83034376191246395</c:v>
                </c:pt>
                <c:pt idx="14">
                  <c:v>0.81873075307798182</c:v>
                </c:pt>
                <c:pt idx="15">
                  <c:v>0.80728016128132896</c:v>
                </c:pt>
                <c:pt idx="16">
                  <c:v>0.79598971499283078</c:v>
                </c:pt>
                <c:pt idx="17">
                  <c:v>0.78485717445193715</c:v>
                </c:pt>
                <c:pt idx="18">
                  <c:v>0.77388033122290611</c:v>
                </c:pt>
                <c:pt idx="19">
                  <c:v>0.76305700775670182</c:v>
                </c:pt>
                <c:pt idx="20">
                  <c:v>0.75238505695901969</c:v>
                </c:pt>
                <c:pt idx="21">
                  <c:v>0.7418623617643535</c:v>
                </c:pt>
                <c:pt idx="22">
                  <c:v>0.73148683471601827</c:v>
                </c:pt>
                <c:pt idx="23">
                  <c:v>0.7212564175520485</c:v>
                </c:pt>
                <c:pt idx="24">
                  <c:v>0.71116908079688679</c:v>
                </c:pt>
                <c:pt idx="25">
                  <c:v>0.70122282335878316</c:v>
                </c:pt>
                <c:pt idx="26">
                  <c:v>0.69141567213282573</c:v>
                </c:pt>
                <c:pt idx="27">
                  <c:v>0.68174568160952198</c:v>
                </c:pt>
                <c:pt idx="28">
                  <c:v>0.67221093348885619</c:v>
                </c:pt>
                <c:pt idx="29">
                  <c:v>0.66280953629974304</c:v>
                </c:pt>
                <c:pt idx="30">
                  <c:v>0.65353962502480367</c:v>
                </c:pt>
                <c:pt idx="31">
                  <c:v>0.6443993607303905</c:v>
                </c:pt>
                <c:pt idx="32">
                  <c:v>0.63538693020178549</c:v>
                </c:pt>
                <c:pt idx="33">
                  <c:v>0.62650054558350055</c:v>
                </c:pt>
                <c:pt idx="34">
                  <c:v>0.61773844402460909</c:v>
                </c:pt>
                <c:pt idx="35">
                  <c:v>0.60909888732903739</c:v>
                </c:pt>
                <c:pt idx="36">
                  <c:v>0.60058016161074745</c:v>
                </c:pt>
                <c:pt idx="37">
                  <c:v>0.59218057695374171</c:v>
                </c:pt>
                <c:pt idx="38">
                  <c:v>0.58389846707682369</c:v>
                </c:pt>
                <c:pt idx="39">
                  <c:v>0.57573218900304624</c:v>
                </c:pt>
                <c:pt idx="40">
                  <c:v>0.56768012273378343</c:v>
                </c:pt>
                <c:pt idx="41">
                  <c:v>0.55974067092736135</c:v>
                </c:pt>
                <c:pt idx="42">
                  <c:v>0.55191225858218174</c:v>
                </c:pt>
                <c:pt idx="43">
                  <c:v>0.54419333272427961</c:v>
                </c:pt>
                <c:pt idx="44">
                  <c:v>0.53658236209924881</c:v>
                </c:pt>
                <c:pt idx="45">
                  <c:v>0.52907783686847731</c:v>
                </c:pt>
                <c:pt idx="46">
                  <c:v>0.52167826830963016</c:v>
                </c:pt>
                <c:pt idx="47">
                  <c:v>0.51438218852132234</c:v>
                </c:pt>
                <c:pt idx="48">
                  <c:v>0.50718815013192076</c:v>
                </c:pt>
                <c:pt idx="49">
                  <c:v>0.50009472601242033</c:v>
                </c:pt>
                <c:pt idx="50">
                  <c:v>0.49310050899333419</c:v>
                </c:pt>
                <c:pt idx="51">
                  <c:v>0.48620411158554483</c:v>
                </c:pt>
                <c:pt idx="52">
                  <c:v>0.47940416570505817</c:v>
                </c:pt>
                <c:pt idx="53">
                  <c:v>0.47269932240160806</c:v>
                </c:pt>
                <c:pt idx="54">
                  <c:v>0.46608825159105588</c:v>
                </c:pt>
                <c:pt idx="55">
                  <c:v>0.45956964179153303</c:v>
                </c:pt>
                <c:pt idx="56">
                  <c:v>0.45314219986327359</c:v>
                </c:pt>
                <c:pt idx="57">
                  <c:v>0.44680465075208559</c:v>
                </c:pt>
                <c:pt idx="58">
                  <c:v>0.44055573723641012</c:v>
                </c:pt>
                <c:pt idx="59">
                  <c:v>0.4343942196779178</c:v>
                </c:pt>
                <c:pt idx="60">
                  <c:v>0.4283188757755938</c:v>
                </c:pt>
                <c:pt idx="61">
                  <c:v>0.42232850032326186</c:v>
                </c:pt>
                <c:pt idx="62">
                  <c:v>0.41642190497049919</c:v>
                </c:pt>
                <c:pt idx="63">
                  <c:v>0.41059791798689604</c:v>
                </c:pt>
                <c:pt idx="64">
                  <c:v>0.40485538402961146</c:v>
                </c:pt>
                <c:pt idx="65">
                  <c:v>0.3991931639141803</c:v>
                </c:pt>
                <c:pt idx="66">
                  <c:v>0.39361013438852588</c:v>
                </c:pt>
                <c:pt idx="67">
                  <c:v>0.38810518791013288</c:v>
                </c:pt>
                <c:pt idx="68">
                  <c:v>0.38267723242633672</c:v>
                </c:pt>
                <c:pt idx="69">
                  <c:v>0.37732519115768598</c:v>
                </c:pt>
                <c:pt idx="70">
                  <c:v>0.37204800238433455</c:v>
                </c:pt>
                <c:pt idx="71">
                  <c:v>0.36684461923542117</c:v>
                </c:pt>
                <c:pt idx="72">
                  <c:v>0.36171400948139465</c:v>
                </c:pt>
                <c:pt idx="73">
                  <c:v>0.35665515532924386</c:v>
                </c:pt>
              </c:numCache>
            </c:numRef>
          </c:val>
          <c:smooth val="0"/>
        </c:ser>
        <c:ser>
          <c:idx val="1"/>
          <c:order val="1"/>
          <c:tx>
            <c:v>2012</c:v>
          </c:tx>
          <c:marker>
            <c:symbol val="none"/>
          </c:marker>
          <c:val>
            <c:numRef>
              <c:f>'Postos Urb. ambiente - Exponenc'!$AL$6:$AL$79</c:f>
              <c:numCache>
                <c:formatCode>General</c:formatCode>
                <c:ptCount val="74"/>
                <c:pt idx="0">
                  <c:v>0.99442898380825406</c:v>
                </c:pt>
                <c:pt idx="1">
                  <c:v>0.96703600252135291</c:v>
                </c:pt>
                <c:pt idx="2">
                  <c:v>0.94039760043115894</c:v>
                </c:pt>
                <c:pt idx="3">
                  <c:v>0.91449299156486641</c:v>
                </c:pt>
                <c:pt idx="4">
                  <c:v>0.88930196252928373</c:v>
                </c:pt>
                <c:pt idx="5">
                  <c:v>0.8648048567383021</c:v>
                </c:pt>
                <c:pt idx="6">
                  <c:v>0.84098255907484076</c:v>
                </c:pt>
                <c:pt idx="7">
                  <c:v>0.81781648097530157</c:v>
                </c:pt>
                <c:pt idx="8">
                  <c:v>0.79528854592489329</c:v>
                </c:pt>
                <c:pt idx="9">
                  <c:v>0.77338117535250839</c:v>
                </c:pt>
                <c:pt idx="10">
                  <c:v>0.752077274914146</c:v>
                </c:pt>
                <c:pt idx="11">
                  <c:v>0.73136022115417709</c:v>
                </c:pt>
                <c:pt idx="12">
                  <c:v>0.71121384853404512</c:v>
                </c:pt>
                <c:pt idx="13">
                  <c:v>0.69162243681827928</c:v>
                </c:pt>
                <c:pt idx="14">
                  <c:v>0.67257069880797882</c:v>
                </c:pt>
                <c:pt idx="15">
                  <c:v>0.65404376841219558</c:v>
                </c:pt>
                <c:pt idx="16">
                  <c:v>0.63602718904790756</c:v>
                </c:pt>
                <c:pt idx="17">
                  <c:v>0.61850690235953287</c:v>
                </c:pt>
                <c:pt idx="18">
                  <c:v>0.60146923724917967</c:v>
                </c:pt>
                <c:pt idx="19">
                  <c:v>0.5849008992090744</c:v>
                </c:pt>
                <c:pt idx="20">
                  <c:v>0.56878895994784373</c:v>
                </c:pt>
                <c:pt idx="21">
                  <c:v>0.5531208473025554</c:v>
                </c:pt>
                <c:pt idx="22">
                  <c:v>0.53788433542864633</c:v>
                </c:pt>
                <c:pt idx="23">
                  <c:v>0.52306753526008321</c:v>
                </c:pt>
                <c:pt idx="24">
                  <c:v>0.50865888523231229</c:v>
                </c:pt>
                <c:pt idx="25">
                  <c:v>0.4946471422607584</c:v>
                </c:pt>
                <c:pt idx="26">
                  <c:v>0.48102137296783437</c:v>
                </c:pt>
                <c:pt idx="27">
                  <c:v>0.46777094515161527</c:v>
                </c:pt>
                <c:pt idx="28">
                  <c:v>0.45488551948951989</c:v>
                </c:pt>
                <c:pt idx="29">
                  <c:v>0.44235504147052696</c:v>
                </c:pt>
                <c:pt idx="30">
                  <c:v>0.43016973354962967</c:v>
                </c:pt>
                <c:pt idx="31">
                  <c:v>0.41832008751840699</c:v>
                </c:pt>
                <c:pt idx="32">
                  <c:v>0.40679685708575891</c:v>
                </c:pt>
                <c:pt idx="33">
                  <c:v>0.39559105066301581</c:v>
                </c:pt>
                <c:pt idx="34">
                  <c:v>0.38469392434779259</c:v>
                </c:pt>
                <c:pt idx="35">
                  <c:v>0.37409697510111256</c:v>
                </c:pt>
                <c:pt idx="36">
                  <c:v>0.36379193411247712</c:v>
                </c:pt>
                <c:pt idx="37">
                  <c:v>0.35377076034770455</c:v>
                </c:pt>
                <c:pt idx="38">
                  <c:v>0.34402563427450272</c:v>
                </c:pt>
                <c:pt idx="39">
                  <c:v>0.33454895176087951</c:v>
                </c:pt>
                <c:pt idx="40">
                  <c:v>0.32533331814163124</c:v>
                </c:pt>
                <c:pt idx="41">
                  <c:v>0.31637154244827759</c:v>
                </c:pt>
                <c:pt idx="42">
                  <c:v>0.30765663179794123</c:v>
                </c:pt>
                <c:pt idx="43">
                  <c:v>0.29918178593679412</c:v>
                </c:pt>
                <c:pt idx="44">
                  <c:v>0.29094039193381266</c:v>
                </c:pt>
                <c:pt idx="45">
                  <c:v>0.28292601902070036</c:v>
                </c:pt>
                <c:pt idx="46">
                  <c:v>0.27513241357395296</c:v>
                </c:pt>
                <c:pt idx="47">
                  <c:v>0.26755349423514935</c:v>
                </c:pt>
                <c:pt idx="48">
                  <c:v>0.26018334716566116</c:v>
                </c:pt>
                <c:pt idx="49">
                  <c:v>0.2530162214320788</c:v>
                </c:pt>
                <c:pt idx="50">
                  <c:v>0.24604652451875172</c:v>
                </c:pt>
                <c:pt idx="51">
                  <c:v>0.23926881796394273</c:v>
                </c:pt>
                <c:pt idx="52">
                  <c:v>0.23267781311619076</c:v>
                </c:pt>
                <c:pt idx="53">
                  <c:v>0.22626836700757058</c:v>
                </c:pt>
                <c:pt idx="54">
                  <c:v>0.22003547834062961</c:v>
                </c:pt>
                <c:pt idx="55">
                  <c:v>0.21397428358587031</c:v>
                </c:pt>
                <c:pt idx="56">
                  <c:v>0.20808005318673303</c:v>
                </c:pt>
                <c:pt idx="57">
                  <c:v>0.2023481878691181</c:v>
                </c:pt>
                <c:pt idx="58">
                  <c:v>0.19677421505256759</c:v>
                </c:pt>
                <c:pt idx="59">
                  <c:v>0.19135378536030612</c:v>
                </c:pt>
                <c:pt idx="60">
                  <c:v>0.1860826692254175</c:v>
                </c:pt>
                <c:pt idx="61">
                  <c:v>0.18095675359050942</c:v>
                </c:pt>
                <c:pt idx="62">
                  <c:v>0.1759720386982904</c:v>
                </c:pt>
                <c:pt idx="63">
                  <c:v>0.17112463497055513</c:v>
                </c:pt>
                <c:pt idx="64">
                  <c:v>0.16641075997314245</c:v>
                </c:pt>
                <c:pt idx="65">
                  <c:v>0.16182673546449816</c:v>
                </c:pt>
                <c:pt idx="66">
                  <c:v>0.15736898452553913</c:v>
                </c:pt>
                <c:pt idx="67">
                  <c:v>0.15303402876857986</c:v>
                </c:pt>
                <c:pt idx="68">
                  <c:v>0.14881848562314282</c:v>
                </c:pt>
                <c:pt idx="69">
                  <c:v>0.14471906569653517</c:v>
                </c:pt>
                <c:pt idx="70">
                  <c:v>0.14073257020713237</c:v>
                </c:pt>
                <c:pt idx="71">
                  <c:v>0.13685588848836538</c:v>
                </c:pt>
                <c:pt idx="72">
                  <c:v>0.13308599556146444</c:v>
                </c:pt>
                <c:pt idx="73">
                  <c:v>0.12941994977506494</c:v>
                </c:pt>
              </c:numCache>
            </c:numRef>
          </c:val>
          <c:smooth val="0"/>
        </c:ser>
        <c:ser>
          <c:idx val="2"/>
          <c:order val="2"/>
          <c:tx>
            <c:v>2014</c:v>
          </c:tx>
          <c:marker>
            <c:symbol val="none"/>
          </c:marker>
          <c:val>
            <c:numRef>
              <c:f>'Postos Urb. ambiente - Exponenc'!$AM$6:$AM$79</c:f>
              <c:numCache>
                <c:formatCode>General</c:formatCode>
                <c:ptCount val="74"/>
                <c:pt idx="0">
                  <c:v>0.99721836062779279</c:v>
                </c:pt>
                <c:pt idx="1">
                  <c:v>0.98342579696807908</c:v>
                </c:pt>
                <c:pt idx="2">
                  <c:v>0.96982399876136749</c:v>
                </c:pt>
                <c:pt idx="3">
                  <c:v>0.95641032752369259</c:v>
                </c:pt>
                <c:pt idx="4">
                  <c:v>0.94318218126405728</c:v>
                </c:pt>
                <c:pt idx="5">
                  <c:v>0.93013699397969707</c:v>
                </c:pt>
                <c:pt idx="6">
                  <c:v>0.9172722351583259</c:v>
                </c:pt>
                <c:pt idx="7">
                  <c:v>0.9045854092872655</c:v>
                </c:pt>
                <c:pt idx="8">
                  <c:v>0.89207405536936502</c:v>
                </c:pt>
                <c:pt idx="9">
                  <c:v>0.87973574644561525</c:v>
                </c:pt>
                <c:pt idx="10">
                  <c:v>0.867568089124366</c:v>
                </c:pt>
                <c:pt idx="11">
                  <c:v>0.85556872311705456</c:v>
                </c:pt>
                <c:pt idx="12">
                  <c:v>0.84373532078035562</c:v>
                </c:pt>
                <c:pt idx="13">
                  <c:v>0.83206558666466413</c:v>
                </c:pt>
                <c:pt idx="14">
                  <c:v>0.82055725706882254</c:v>
                </c:pt>
                <c:pt idx="15">
                  <c:v>0.80920809960100692</c:v>
                </c:pt>
                <c:pt idx="16">
                  <c:v>0.79801591274568617</c:v>
                </c:pt>
                <c:pt idx="17">
                  <c:v>0.78697852543657143</c:v>
                </c:pt>
                <c:pt idx="18">
                  <c:v>0.77609379663547085</c:v>
                </c:pt>
                <c:pt idx="19">
                  <c:v>0.76535961491697058</c:v>
                </c:pt>
                <c:pt idx="20">
                  <c:v>0.75477389805885875</c:v>
                </c:pt>
                <c:pt idx="21">
                  <c:v>0.74433459263821511</c:v>
                </c:pt>
                <c:pt idx="22">
                  <c:v>0.73403967363308709</c:v>
                </c:pt>
                <c:pt idx="23">
                  <c:v>0.7238871440296748</c:v>
                </c:pt>
                <c:pt idx="24">
                  <c:v>0.7138750344349496</c:v>
                </c:pt>
                <c:pt idx="25">
                  <c:v>0.70400140269462974</c:v>
                </c:pt>
                <c:pt idx="26">
                  <c:v>0.69426433351644024</c:v>
                </c:pt>
                <c:pt idx="27">
                  <c:v>0.68466193809858422</c:v>
                </c:pt>
                <c:pt idx="28">
                  <c:v>0.67519235376335118</c:v>
                </c:pt>
                <c:pt idx="29">
                  <c:v>0.66585374359579441</c:v>
                </c:pt>
                <c:pt idx="30">
                  <c:v>0.65664429608740515</c:v>
                </c:pt>
                <c:pt idx="31">
                  <c:v>0.64756222478471492</c:v>
                </c:pt>
                <c:pt idx="32">
                  <c:v>0.63860576794275881</c:v>
                </c:pt>
                <c:pt idx="33">
                  <c:v>0.62977318818333095</c:v>
                </c:pt>
                <c:pt idx="34">
                  <c:v>0.62106277215796701</c:v>
                </c:pt>
                <c:pt idx="35">
                  <c:v>0.61247283021558807</c:v>
                </c:pt>
                <c:pt idx="36">
                  <c:v>0.60400169607474108</c:v>
                </c:pt>
                <c:pt idx="37">
                  <c:v>0.5956477265003729</c:v>
                </c:pt>
                <c:pt idx="38">
                  <c:v>0.58740930098507438</c:v>
                </c:pt>
                <c:pt idx="39">
                  <c:v>0.57928482143473381</c:v>
                </c:pt>
                <c:pt idx="40">
                  <c:v>0.57127271185853779</c:v>
                </c:pt>
                <c:pt idx="41">
                  <c:v>0.56337141806325919</c:v>
                </c:pt>
                <c:pt idx="42">
                  <c:v>0.5555794073517748</c:v>
                </c:pt>
                <c:pt idx="43">
                  <c:v>0.54789516822575102</c:v>
                </c:pt>
                <c:pt idx="44">
                  <c:v>0.54031721009244316</c:v>
                </c:pt>
                <c:pt idx="45">
                  <c:v>0.53284406297554965</c:v>
                </c:pt>
                <c:pt idx="46">
                  <c:v>0.52547427723006446</c:v>
                </c:pt>
                <c:pt idx="47">
                  <c:v>0.51820642326107513</c:v>
                </c:pt>
                <c:pt idx="48">
                  <c:v>0.51103909124644864</c:v>
                </c:pt>
                <c:pt idx="49">
                  <c:v>0.50397089086335345</c:v>
                </c:pt>
                <c:pt idx="50">
                  <c:v>0.4970004510185641</c:v>
                </c:pt>
                <c:pt idx="51">
                  <c:v>0.49012641958249575</c:v>
                </c:pt>
                <c:pt idx="52">
                  <c:v>0.48334746312691729</c:v>
                </c:pt>
                <c:pt idx="53">
                  <c:v>0.47666226666629236</c:v>
                </c:pt>
                <c:pt idx="54">
                  <c:v>0.47006953340269758</c:v>
                </c:pt>
                <c:pt idx="55">
                  <c:v>0.46356798447426928</c:v>
                </c:pt>
                <c:pt idx="56">
                  <c:v>0.45715635870712901</c:v>
                </c:pt>
                <c:pt idx="57">
                  <c:v>0.45083341237074037</c:v>
                </c:pt>
                <c:pt idx="58">
                  <c:v>0.44459791893664952</c:v>
                </c:pt>
                <c:pt idx="59">
                  <c:v>0.43844866884056272</c:v>
                </c:pt>
                <c:pt idx="60">
                  <c:v>0.43238446924771412</c:v>
                </c:pt>
                <c:pt idx="61">
                  <c:v>0.42640414382147923</c:v>
                </c:pt>
                <c:pt idx="62">
                  <c:v>0.42050653249518855</c:v>
                </c:pt>
                <c:pt idx="63">
                  <c:v>0.41469049124709711</c:v>
                </c:pt>
                <c:pt idx="64">
                  <c:v>0.40895489187846656</c:v>
                </c:pt>
                <c:pt idx="65">
                  <c:v>0.40329862179471665</c:v>
                </c:pt>
                <c:pt idx="66">
                  <c:v>0.39772058378960357</c:v>
                </c:pt>
                <c:pt idx="67">
                  <c:v>0.39221969583238303</c:v>
                </c:pt>
                <c:pt idx="68">
                  <c:v>0.38679489085791779</c:v>
                </c:pt>
                <c:pt idx="69">
                  <c:v>0.38144511655968755</c:v>
                </c:pt>
                <c:pt idx="70">
                  <c:v>0.37616933518566198</c:v>
                </c:pt>
                <c:pt idx="71">
                  <c:v>0.37096652333699709</c:v>
                </c:pt>
                <c:pt idx="72">
                  <c:v>0.36583567176951587</c:v>
                </c:pt>
                <c:pt idx="73">
                  <c:v>0.36077578519793424</c:v>
                </c:pt>
              </c:numCache>
            </c:numRef>
          </c:val>
          <c:smooth val="0"/>
        </c:ser>
        <c:ser>
          <c:idx val="3"/>
          <c:order val="3"/>
          <c:tx>
            <c:v>2015</c:v>
          </c:tx>
          <c:marker>
            <c:symbol val="none"/>
          </c:marker>
          <c:val>
            <c:numRef>
              <c:f>'Postos Urb. ambiente - Exponenc'!$AN$6:$AN$79</c:f>
              <c:numCache>
                <c:formatCode>General</c:formatCode>
                <c:ptCount val="74"/>
                <c:pt idx="0">
                  <c:v>0.99442898380825406</c:v>
                </c:pt>
                <c:pt idx="1">
                  <c:v>0.96703600252135291</c:v>
                </c:pt>
                <c:pt idx="2">
                  <c:v>0.94039760043115894</c:v>
                </c:pt>
                <c:pt idx="3">
                  <c:v>0.91449299156486641</c:v>
                </c:pt>
                <c:pt idx="4">
                  <c:v>0.88930196252928373</c:v>
                </c:pt>
                <c:pt idx="5">
                  <c:v>0.8648048567383021</c:v>
                </c:pt>
                <c:pt idx="6">
                  <c:v>0.84098255907484076</c:v>
                </c:pt>
                <c:pt idx="7">
                  <c:v>0.81781648097530157</c:v>
                </c:pt>
                <c:pt idx="8">
                  <c:v>0.79528854592489329</c:v>
                </c:pt>
                <c:pt idx="9">
                  <c:v>0.77338117535250839</c:v>
                </c:pt>
                <c:pt idx="10">
                  <c:v>0.752077274914146</c:v>
                </c:pt>
                <c:pt idx="11">
                  <c:v>0.73136022115417709</c:v>
                </c:pt>
                <c:pt idx="12">
                  <c:v>0.71121384853404512</c:v>
                </c:pt>
                <c:pt idx="13">
                  <c:v>0.69162243681827928</c:v>
                </c:pt>
                <c:pt idx="14">
                  <c:v>0.67257069880797882</c:v>
                </c:pt>
                <c:pt idx="15">
                  <c:v>0.65404376841219558</c:v>
                </c:pt>
                <c:pt idx="16">
                  <c:v>0.63602718904790756</c:v>
                </c:pt>
                <c:pt idx="17">
                  <c:v>0.61850690235953287</c:v>
                </c:pt>
                <c:pt idx="18">
                  <c:v>0.60146923724917967</c:v>
                </c:pt>
                <c:pt idx="19">
                  <c:v>0.5849008992090744</c:v>
                </c:pt>
                <c:pt idx="20">
                  <c:v>0.56878895994784373</c:v>
                </c:pt>
                <c:pt idx="21">
                  <c:v>0.5531208473025554</c:v>
                </c:pt>
                <c:pt idx="22">
                  <c:v>0.53788433542864633</c:v>
                </c:pt>
                <c:pt idx="23">
                  <c:v>0.52306753526008321</c:v>
                </c:pt>
                <c:pt idx="24">
                  <c:v>0.50865888523231229</c:v>
                </c:pt>
                <c:pt idx="25">
                  <c:v>0.4946471422607584</c:v>
                </c:pt>
                <c:pt idx="26">
                  <c:v>0.48102137296783437</c:v>
                </c:pt>
                <c:pt idx="27">
                  <c:v>0.46777094515161527</c:v>
                </c:pt>
                <c:pt idx="28">
                  <c:v>0.45488551948951989</c:v>
                </c:pt>
                <c:pt idx="29">
                  <c:v>0.44235504147052696</c:v>
                </c:pt>
                <c:pt idx="30">
                  <c:v>0.43016973354962967</c:v>
                </c:pt>
                <c:pt idx="31">
                  <c:v>0.41832008751840699</c:v>
                </c:pt>
                <c:pt idx="32">
                  <c:v>0.40679685708575891</c:v>
                </c:pt>
                <c:pt idx="33">
                  <c:v>0.39559105066301581</c:v>
                </c:pt>
                <c:pt idx="34">
                  <c:v>0.38469392434779259</c:v>
                </c:pt>
                <c:pt idx="35">
                  <c:v>0.37409697510111256</c:v>
                </c:pt>
                <c:pt idx="36">
                  <c:v>0.36379193411247712</c:v>
                </c:pt>
                <c:pt idx="37">
                  <c:v>0.35377076034770455</c:v>
                </c:pt>
                <c:pt idx="38">
                  <c:v>0.34402563427450272</c:v>
                </c:pt>
                <c:pt idx="39">
                  <c:v>0.33454895176087951</c:v>
                </c:pt>
                <c:pt idx="40">
                  <c:v>0.32533331814163124</c:v>
                </c:pt>
                <c:pt idx="41">
                  <c:v>0.31637154244827759</c:v>
                </c:pt>
                <c:pt idx="42">
                  <c:v>0.30765663179794123</c:v>
                </c:pt>
                <c:pt idx="43">
                  <c:v>0.29918178593679412</c:v>
                </c:pt>
                <c:pt idx="44">
                  <c:v>0.29094039193381266</c:v>
                </c:pt>
                <c:pt idx="45">
                  <c:v>0.28292601902070036</c:v>
                </c:pt>
                <c:pt idx="46">
                  <c:v>0.27513241357395296</c:v>
                </c:pt>
                <c:pt idx="47">
                  <c:v>0.26755349423514935</c:v>
                </c:pt>
                <c:pt idx="48">
                  <c:v>0.26018334716566116</c:v>
                </c:pt>
                <c:pt idx="49">
                  <c:v>0.2530162214320788</c:v>
                </c:pt>
                <c:pt idx="50">
                  <c:v>0.24604652451875172</c:v>
                </c:pt>
                <c:pt idx="51">
                  <c:v>0.23926881796394273</c:v>
                </c:pt>
                <c:pt idx="52">
                  <c:v>0.23267781311619076</c:v>
                </c:pt>
                <c:pt idx="53">
                  <c:v>0.22626836700757058</c:v>
                </c:pt>
                <c:pt idx="54">
                  <c:v>0.22003547834062961</c:v>
                </c:pt>
                <c:pt idx="55">
                  <c:v>0.21397428358587031</c:v>
                </c:pt>
                <c:pt idx="56">
                  <c:v>0.20808005318673303</c:v>
                </c:pt>
                <c:pt idx="57">
                  <c:v>0.2023481878691181</c:v>
                </c:pt>
                <c:pt idx="58">
                  <c:v>0.19677421505256759</c:v>
                </c:pt>
                <c:pt idx="59">
                  <c:v>0.19135378536030612</c:v>
                </c:pt>
                <c:pt idx="60">
                  <c:v>0.1860826692254175</c:v>
                </c:pt>
                <c:pt idx="61">
                  <c:v>0.18095675359050942</c:v>
                </c:pt>
                <c:pt idx="62">
                  <c:v>0.1759720386982904</c:v>
                </c:pt>
                <c:pt idx="63">
                  <c:v>0.17112463497055513</c:v>
                </c:pt>
                <c:pt idx="64">
                  <c:v>0.16641075997314245</c:v>
                </c:pt>
                <c:pt idx="65">
                  <c:v>0.16182673546449816</c:v>
                </c:pt>
                <c:pt idx="66">
                  <c:v>0.15736898452553913</c:v>
                </c:pt>
                <c:pt idx="67">
                  <c:v>0.15303402876857986</c:v>
                </c:pt>
                <c:pt idx="68">
                  <c:v>0.14881848562314282</c:v>
                </c:pt>
                <c:pt idx="69">
                  <c:v>0.14471906569653517</c:v>
                </c:pt>
                <c:pt idx="70">
                  <c:v>0.14073257020713237</c:v>
                </c:pt>
                <c:pt idx="71">
                  <c:v>0.13685588848836538</c:v>
                </c:pt>
                <c:pt idx="72">
                  <c:v>0.13308599556146444</c:v>
                </c:pt>
                <c:pt idx="73">
                  <c:v>0.12941994977506494</c:v>
                </c:pt>
              </c:numCache>
            </c:numRef>
          </c:val>
          <c:smooth val="0"/>
        </c:ser>
        <c:dLbls>
          <c:showLegendKey val="0"/>
          <c:showVal val="0"/>
          <c:showCatName val="0"/>
          <c:showSerName val="0"/>
          <c:showPercent val="0"/>
          <c:showBubbleSize val="0"/>
        </c:dLbls>
        <c:marker val="1"/>
        <c:smooth val="0"/>
        <c:axId val="122203520"/>
        <c:axId val="122205312"/>
      </c:lineChart>
      <c:catAx>
        <c:axId val="122203520"/>
        <c:scaling>
          <c:orientation val="minMax"/>
        </c:scaling>
        <c:delete val="0"/>
        <c:axPos val="b"/>
        <c:numFmt formatCode="General" sourceLinked="1"/>
        <c:majorTickMark val="out"/>
        <c:minorTickMark val="none"/>
        <c:tickLblPos val="nextTo"/>
        <c:crossAx val="122205312"/>
        <c:crosses val="autoZero"/>
        <c:auto val="1"/>
        <c:lblAlgn val="ctr"/>
        <c:lblOffset val="100"/>
        <c:noMultiLvlLbl val="0"/>
      </c:catAx>
      <c:valAx>
        <c:axId val="122205312"/>
        <c:scaling>
          <c:orientation val="minMax"/>
          <c:max val="1"/>
        </c:scaling>
        <c:delete val="0"/>
        <c:axPos val="l"/>
        <c:majorGridlines/>
        <c:numFmt formatCode="General" sourceLinked="1"/>
        <c:majorTickMark val="out"/>
        <c:minorTickMark val="none"/>
        <c:tickLblPos val="nextTo"/>
        <c:crossAx val="122203520"/>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159.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pt-PT"/>
              <a:t>EQAr - Almoinhas</a:t>
            </a:r>
          </a:p>
        </c:rich>
      </c:tx>
      <c:overlay val="0"/>
    </c:title>
    <c:autoTitleDeleted val="0"/>
    <c:plotArea>
      <c:layout/>
      <c:lineChart>
        <c:grouping val="standard"/>
        <c:varyColors val="0"/>
        <c:ser>
          <c:idx val="0"/>
          <c:order val="0"/>
          <c:tx>
            <c:v>2011</c:v>
          </c:tx>
          <c:marker>
            <c:symbol val="none"/>
          </c:marker>
          <c:val>
            <c:numRef>
              <c:f>'Postos Urb. ambiente - Exponenc'!$AO$6:$AO$79</c:f>
              <c:numCache>
                <c:formatCode>General</c:formatCode>
                <c:ptCount val="74"/>
                <c:pt idx="0">
                  <c:v>0.99718706233562282</c:v>
                </c:pt>
                <c:pt idx="1">
                  <c:v>0.98324061907233784</c:v>
                </c:pt>
                <c:pt idx="2">
                  <c:v>0.96948922775772173</c:v>
                </c:pt>
                <c:pt idx="3">
                  <c:v>0.95593016043727319</c:v>
                </c:pt>
                <c:pt idx="4">
                  <c:v>0.94256072730907403</c:v>
                </c:pt>
                <c:pt idx="5">
                  <c:v>0.92937827619019631</c:v>
                </c:pt>
                <c:pt idx="6">
                  <c:v>0.91638019199057019</c:v>
                </c:pt>
                <c:pt idx="7">
                  <c:v>0.90356389619421207</c:v>
                </c:pt>
                <c:pt idx="8">
                  <c:v>0.89092684634770691</c:v>
                </c:pt>
                <c:pt idx="9">
                  <c:v>0.87846653555584486</c:v>
                </c:pt>
                <c:pt idx="10">
                  <c:v>0.86618049198431224</c:v>
                </c:pt>
                <c:pt idx="11">
                  <c:v>0.8540662783693368</c:v>
                </c:pt>
                <c:pt idx="12">
                  <c:v>0.84212149153419236</c:v>
                </c:pt>
                <c:pt idx="13">
                  <c:v>0.83034376191246395</c:v>
                </c:pt>
                <c:pt idx="14">
                  <c:v>0.81873075307798182</c:v>
                </c:pt>
                <c:pt idx="15">
                  <c:v>0.80728016128132896</c:v>
                </c:pt>
                <c:pt idx="16">
                  <c:v>0.79598971499283078</c:v>
                </c:pt>
                <c:pt idx="17">
                  <c:v>0.78485717445193715</c:v>
                </c:pt>
                <c:pt idx="18">
                  <c:v>0.77388033122290611</c:v>
                </c:pt>
                <c:pt idx="19">
                  <c:v>0.76305700775670182</c:v>
                </c:pt>
                <c:pt idx="20">
                  <c:v>0.75238505695901969</c:v>
                </c:pt>
                <c:pt idx="21">
                  <c:v>0.7418623617643535</c:v>
                </c:pt>
                <c:pt idx="22">
                  <c:v>0.73148683471601827</c:v>
                </c:pt>
                <c:pt idx="23">
                  <c:v>0.7212564175520485</c:v>
                </c:pt>
                <c:pt idx="24">
                  <c:v>0.71116908079688679</c:v>
                </c:pt>
                <c:pt idx="25">
                  <c:v>0.70122282335878316</c:v>
                </c:pt>
                <c:pt idx="26">
                  <c:v>0.69141567213282573</c:v>
                </c:pt>
                <c:pt idx="27">
                  <c:v>0.68174568160952198</c:v>
                </c:pt>
                <c:pt idx="28">
                  <c:v>0.67221093348885619</c:v>
                </c:pt>
                <c:pt idx="29">
                  <c:v>0.66280953629974304</c:v>
                </c:pt>
                <c:pt idx="30">
                  <c:v>0.65353962502480367</c:v>
                </c:pt>
                <c:pt idx="31">
                  <c:v>0.6443993607303905</c:v>
                </c:pt>
                <c:pt idx="32">
                  <c:v>0.63538693020178549</c:v>
                </c:pt>
                <c:pt idx="33">
                  <c:v>0.62650054558350055</c:v>
                </c:pt>
                <c:pt idx="34">
                  <c:v>0.61773844402460909</c:v>
                </c:pt>
                <c:pt idx="35">
                  <c:v>0.60909888732903739</c:v>
                </c:pt>
                <c:pt idx="36">
                  <c:v>0.60058016161074745</c:v>
                </c:pt>
                <c:pt idx="37">
                  <c:v>0.59218057695374171</c:v>
                </c:pt>
                <c:pt idx="38">
                  <c:v>0.58389846707682369</c:v>
                </c:pt>
                <c:pt idx="39">
                  <c:v>0.57573218900304624</c:v>
                </c:pt>
                <c:pt idx="40">
                  <c:v>0.56768012273378343</c:v>
                </c:pt>
                <c:pt idx="41">
                  <c:v>0.55974067092736135</c:v>
                </c:pt>
                <c:pt idx="42">
                  <c:v>0.55191225858218174</c:v>
                </c:pt>
                <c:pt idx="43">
                  <c:v>0.54419333272427961</c:v>
                </c:pt>
                <c:pt idx="44">
                  <c:v>0.53658236209924881</c:v>
                </c:pt>
                <c:pt idx="45">
                  <c:v>0.52907783686847731</c:v>
                </c:pt>
                <c:pt idx="46">
                  <c:v>0.52167826830963016</c:v>
                </c:pt>
                <c:pt idx="47">
                  <c:v>0.51438218852132234</c:v>
                </c:pt>
                <c:pt idx="48">
                  <c:v>0.50718815013192076</c:v>
                </c:pt>
                <c:pt idx="49">
                  <c:v>0.50009472601242033</c:v>
                </c:pt>
                <c:pt idx="50">
                  <c:v>0.49310050899333419</c:v>
                </c:pt>
                <c:pt idx="51">
                  <c:v>0.48620411158554483</c:v>
                </c:pt>
                <c:pt idx="52">
                  <c:v>0.47940416570505817</c:v>
                </c:pt>
                <c:pt idx="53">
                  <c:v>0.47269932240160806</c:v>
                </c:pt>
                <c:pt idx="54">
                  <c:v>0.46608825159105588</c:v>
                </c:pt>
                <c:pt idx="55">
                  <c:v>0.45956964179153303</c:v>
                </c:pt>
                <c:pt idx="56">
                  <c:v>0.45314219986327359</c:v>
                </c:pt>
                <c:pt idx="57">
                  <c:v>0.44680465075208559</c:v>
                </c:pt>
                <c:pt idx="58">
                  <c:v>0.44055573723641012</c:v>
                </c:pt>
                <c:pt idx="59">
                  <c:v>0.4343942196779178</c:v>
                </c:pt>
                <c:pt idx="60">
                  <c:v>0.4283188757755938</c:v>
                </c:pt>
                <c:pt idx="61">
                  <c:v>0.42232850032326186</c:v>
                </c:pt>
                <c:pt idx="62">
                  <c:v>0.41642190497049919</c:v>
                </c:pt>
                <c:pt idx="63">
                  <c:v>0.41059791798689604</c:v>
                </c:pt>
                <c:pt idx="64">
                  <c:v>0.40485538402961146</c:v>
                </c:pt>
                <c:pt idx="65">
                  <c:v>0.3991931639141803</c:v>
                </c:pt>
                <c:pt idx="66">
                  <c:v>0.39361013438852588</c:v>
                </c:pt>
                <c:pt idx="67">
                  <c:v>0.38810518791013288</c:v>
                </c:pt>
                <c:pt idx="68">
                  <c:v>0.38267723242633672</c:v>
                </c:pt>
                <c:pt idx="69">
                  <c:v>0.37732519115768598</c:v>
                </c:pt>
                <c:pt idx="70">
                  <c:v>0.37204800238433455</c:v>
                </c:pt>
                <c:pt idx="71">
                  <c:v>0.36684461923542117</c:v>
                </c:pt>
                <c:pt idx="72">
                  <c:v>0.36171400948139465</c:v>
                </c:pt>
                <c:pt idx="73">
                  <c:v>0.35665515532924386</c:v>
                </c:pt>
              </c:numCache>
            </c:numRef>
          </c:val>
          <c:smooth val="0"/>
        </c:ser>
        <c:ser>
          <c:idx val="1"/>
          <c:order val="1"/>
          <c:tx>
            <c:v>2012</c:v>
          </c:tx>
          <c:marker>
            <c:symbol val="none"/>
          </c:marker>
          <c:val>
            <c:numRef>
              <c:f>'Postos Urb. ambiente - Exponenc'!$AP$6:$AP$79</c:f>
              <c:numCache>
                <c:formatCode>General</c:formatCode>
                <c:ptCount val="74"/>
                <c:pt idx="0">
                  <c:v>0.99721836062779279</c:v>
                </c:pt>
                <c:pt idx="1">
                  <c:v>0.98342579696807908</c:v>
                </c:pt>
                <c:pt idx="2">
                  <c:v>0.96982399876136749</c:v>
                </c:pt>
                <c:pt idx="3">
                  <c:v>0.95641032752369259</c:v>
                </c:pt>
                <c:pt idx="4">
                  <c:v>0.94318218126405728</c:v>
                </c:pt>
                <c:pt idx="5">
                  <c:v>0.93013699397969707</c:v>
                </c:pt>
                <c:pt idx="6">
                  <c:v>0.9172722351583259</c:v>
                </c:pt>
                <c:pt idx="7">
                  <c:v>0.9045854092872655</c:v>
                </c:pt>
                <c:pt idx="8">
                  <c:v>0.89207405536936502</c:v>
                </c:pt>
                <c:pt idx="9">
                  <c:v>0.87973574644561525</c:v>
                </c:pt>
                <c:pt idx="10">
                  <c:v>0.867568089124366</c:v>
                </c:pt>
                <c:pt idx="11">
                  <c:v>0.85556872311705456</c:v>
                </c:pt>
                <c:pt idx="12">
                  <c:v>0.84373532078035562</c:v>
                </c:pt>
                <c:pt idx="13">
                  <c:v>0.83206558666466413</c:v>
                </c:pt>
                <c:pt idx="14">
                  <c:v>0.82055725706882254</c:v>
                </c:pt>
                <c:pt idx="15">
                  <c:v>0.80920809960100692</c:v>
                </c:pt>
                <c:pt idx="16">
                  <c:v>0.79801591274568617</c:v>
                </c:pt>
                <c:pt idx="17">
                  <c:v>0.78697852543657143</c:v>
                </c:pt>
                <c:pt idx="18">
                  <c:v>0.77609379663547085</c:v>
                </c:pt>
                <c:pt idx="19">
                  <c:v>0.76535961491697058</c:v>
                </c:pt>
                <c:pt idx="20">
                  <c:v>0.75477389805885875</c:v>
                </c:pt>
                <c:pt idx="21">
                  <c:v>0.74433459263821511</c:v>
                </c:pt>
                <c:pt idx="22">
                  <c:v>0.73403967363308709</c:v>
                </c:pt>
                <c:pt idx="23">
                  <c:v>0.7238871440296748</c:v>
                </c:pt>
                <c:pt idx="24">
                  <c:v>0.7138750344349496</c:v>
                </c:pt>
                <c:pt idx="25">
                  <c:v>0.70400140269462974</c:v>
                </c:pt>
                <c:pt idx="26">
                  <c:v>0.69426433351644024</c:v>
                </c:pt>
                <c:pt idx="27">
                  <c:v>0.68466193809858422</c:v>
                </c:pt>
                <c:pt idx="28">
                  <c:v>0.67519235376335118</c:v>
                </c:pt>
                <c:pt idx="29">
                  <c:v>0.66585374359579441</c:v>
                </c:pt>
                <c:pt idx="30">
                  <c:v>0.65664429608740515</c:v>
                </c:pt>
                <c:pt idx="31">
                  <c:v>0.64756222478471492</c:v>
                </c:pt>
                <c:pt idx="32">
                  <c:v>0.63860576794275881</c:v>
                </c:pt>
                <c:pt idx="33">
                  <c:v>0.62977318818333095</c:v>
                </c:pt>
                <c:pt idx="34">
                  <c:v>0.62106277215796701</c:v>
                </c:pt>
                <c:pt idx="35">
                  <c:v>0.61247283021558807</c:v>
                </c:pt>
                <c:pt idx="36">
                  <c:v>0.60400169607474108</c:v>
                </c:pt>
                <c:pt idx="37">
                  <c:v>0.5956477265003729</c:v>
                </c:pt>
                <c:pt idx="38">
                  <c:v>0.58740930098507438</c:v>
                </c:pt>
                <c:pt idx="39">
                  <c:v>0.57928482143473381</c:v>
                </c:pt>
                <c:pt idx="40">
                  <c:v>0.57127271185853779</c:v>
                </c:pt>
                <c:pt idx="41">
                  <c:v>0.56337141806325919</c:v>
                </c:pt>
                <c:pt idx="42">
                  <c:v>0.5555794073517748</c:v>
                </c:pt>
                <c:pt idx="43">
                  <c:v>0.54789516822575102</c:v>
                </c:pt>
                <c:pt idx="44">
                  <c:v>0.54031721009244316</c:v>
                </c:pt>
                <c:pt idx="45">
                  <c:v>0.53284406297554965</c:v>
                </c:pt>
                <c:pt idx="46">
                  <c:v>0.52547427723006446</c:v>
                </c:pt>
                <c:pt idx="47">
                  <c:v>0.51820642326107513</c:v>
                </c:pt>
                <c:pt idx="48">
                  <c:v>0.51103909124644864</c:v>
                </c:pt>
                <c:pt idx="49">
                  <c:v>0.50397089086335345</c:v>
                </c:pt>
                <c:pt idx="50">
                  <c:v>0.4970004510185641</c:v>
                </c:pt>
                <c:pt idx="51">
                  <c:v>0.49012641958249575</c:v>
                </c:pt>
                <c:pt idx="52">
                  <c:v>0.48334746312691729</c:v>
                </c:pt>
                <c:pt idx="53">
                  <c:v>0.47666226666629236</c:v>
                </c:pt>
                <c:pt idx="54">
                  <c:v>0.47006953340269758</c:v>
                </c:pt>
                <c:pt idx="55">
                  <c:v>0.46356798447426928</c:v>
                </c:pt>
                <c:pt idx="56">
                  <c:v>0.45715635870712901</c:v>
                </c:pt>
                <c:pt idx="57">
                  <c:v>0.45083341237074037</c:v>
                </c:pt>
                <c:pt idx="58">
                  <c:v>0.44459791893664952</c:v>
                </c:pt>
                <c:pt idx="59">
                  <c:v>0.43844866884056272</c:v>
                </c:pt>
                <c:pt idx="60">
                  <c:v>0.43238446924771412</c:v>
                </c:pt>
                <c:pt idx="61">
                  <c:v>0.42640414382147923</c:v>
                </c:pt>
                <c:pt idx="62">
                  <c:v>0.42050653249518855</c:v>
                </c:pt>
                <c:pt idx="63">
                  <c:v>0.41469049124709711</c:v>
                </c:pt>
                <c:pt idx="64">
                  <c:v>0.40895489187846656</c:v>
                </c:pt>
                <c:pt idx="65">
                  <c:v>0.40329862179471665</c:v>
                </c:pt>
                <c:pt idx="66">
                  <c:v>0.39772058378960357</c:v>
                </c:pt>
                <c:pt idx="67">
                  <c:v>0.39221969583238303</c:v>
                </c:pt>
                <c:pt idx="68">
                  <c:v>0.38679489085791779</c:v>
                </c:pt>
                <c:pt idx="69">
                  <c:v>0.38144511655968755</c:v>
                </c:pt>
                <c:pt idx="70">
                  <c:v>0.37616933518566198</c:v>
                </c:pt>
                <c:pt idx="71">
                  <c:v>0.37096652333699709</c:v>
                </c:pt>
                <c:pt idx="72">
                  <c:v>0.36583567176951587</c:v>
                </c:pt>
                <c:pt idx="73">
                  <c:v>0.36077578519793424</c:v>
                </c:pt>
              </c:numCache>
            </c:numRef>
          </c:val>
          <c:smooth val="0"/>
        </c:ser>
        <c:ser>
          <c:idx val="2"/>
          <c:order val="2"/>
          <c:tx>
            <c:v>2013</c:v>
          </c:tx>
          <c:marker>
            <c:symbol val="none"/>
          </c:marker>
          <c:val>
            <c:numRef>
              <c:f>'Postos Urb. ambiente - Exponenc'!$AQ$6:$AQ$79</c:f>
              <c:numCache>
                <c:formatCode>General</c:formatCode>
                <c:ptCount val="74"/>
                <c:pt idx="0">
                  <c:v>0.99721836062779279</c:v>
                </c:pt>
                <c:pt idx="1">
                  <c:v>0.98342579696807908</c:v>
                </c:pt>
                <c:pt idx="2">
                  <c:v>0.96982399876136749</c:v>
                </c:pt>
                <c:pt idx="3">
                  <c:v>0.95641032752369259</c:v>
                </c:pt>
                <c:pt idx="4">
                  <c:v>0.94318218126405728</c:v>
                </c:pt>
                <c:pt idx="5">
                  <c:v>0.93013699397969707</c:v>
                </c:pt>
                <c:pt idx="6">
                  <c:v>0.9172722351583259</c:v>
                </c:pt>
                <c:pt idx="7">
                  <c:v>0.9045854092872655</c:v>
                </c:pt>
                <c:pt idx="8">
                  <c:v>0.89207405536936502</c:v>
                </c:pt>
                <c:pt idx="9">
                  <c:v>0.87973574644561525</c:v>
                </c:pt>
                <c:pt idx="10">
                  <c:v>0.867568089124366</c:v>
                </c:pt>
                <c:pt idx="11">
                  <c:v>0.85556872311705456</c:v>
                </c:pt>
                <c:pt idx="12">
                  <c:v>0.84373532078035562</c:v>
                </c:pt>
                <c:pt idx="13">
                  <c:v>0.83206558666466413</c:v>
                </c:pt>
                <c:pt idx="14">
                  <c:v>0.82055725706882254</c:v>
                </c:pt>
                <c:pt idx="15">
                  <c:v>0.80920809960100692</c:v>
                </c:pt>
                <c:pt idx="16">
                  <c:v>0.79801591274568617</c:v>
                </c:pt>
                <c:pt idx="17">
                  <c:v>0.78697852543657143</c:v>
                </c:pt>
                <c:pt idx="18">
                  <c:v>0.77609379663547085</c:v>
                </c:pt>
                <c:pt idx="19">
                  <c:v>0.76535961491697058</c:v>
                </c:pt>
                <c:pt idx="20">
                  <c:v>0.75477389805885875</c:v>
                </c:pt>
                <c:pt idx="21">
                  <c:v>0.74433459263821511</c:v>
                </c:pt>
                <c:pt idx="22">
                  <c:v>0.73403967363308709</c:v>
                </c:pt>
                <c:pt idx="23">
                  <c:v>0.7238871440296748</c:v>
                </c:pt>
                <c:pt idx="24">
                  <c:v>0.7138750344349496</c:v>
                </c:pt>
                <c:pt idx="25">
                  <c:v>0.70400140269462974</c:v>
                </c:pt>
                <c:pt idx="26">
                  <c:v>0.69426433351644024</c:v>
                </c:pt>
                <c:pt idx="27">
                  <c:v>0.68466193809858422</c:v>
                </c:pt>
                <c:pt idx="28">
                  <c:v>0.67519235376335118</c:v>
                </c:pt>
                <c:pt idx="29">
                  <c:v>0.66585374359579441</c:v>
                </c:pt>
                <c:pt idx="30">
                  <c:v>0.65664429608740515</c:v>
                </c:pt>
                <c:pt idx="31">
                  <c:v>0.64756222478471492</c:v>
                </c:pt>
                <c:pt idx="32">
                  <c:v>0.63860576794275881</c:v>
                </c:pt>
                <c:pt idx="33">
                  <c:v>0.62977318818333095</c:v>
                </c:pt>
                <c:pt idx="34">
                  <c:v>0.62106277215796701</c:v>
                </c:pt>
                <c:pt idx="35">
                  <c:v>0.61247283021558807</c:v>
                </c:pt>
                <c:pt idx="36">
                  <c:v>0.60400169607474108</c:v>
                </c:pt>
                <c:pt idx="37">
                  <c:v>0.5956477265003729</c:v>
                </c:pt>
                <c:pt idx="38">
                  <c:v>0.58740930098507438</c:v>
                </c:pt>
                <c:pt idx="39">
                  <c:v>0.57928482143473381</c:v>
                </c:pt>
                <c:pt idx="40">
                  <c:v>0.57127271185853779</c:v>
                </c:pt>
                <c:pt idx="41">
                  <c:v>0.56337141806325919</c:v>
                </c:pt>
                <c:pt idx="42">
                  <c:v>0.5555794073517748</c:v>
                </c:pt>
                <c:pt idx="43">
                  <c:v>0.54789516822575102</c:v>
                </c:pt>
                <c:pt idx="44">
                  <c:v>0.54031721009244316</c:v>
                </c:pt>
                <c:pt idx="45">
                  <c:v>0.53284406297554965</c:v>
                </c:pt>
                <c:pt idx="46">
                  <c:v>0.52547427723006446</c:v>
                </c:pt>
                <c:pt idx="47">
                  <c:v>0.51820642326107513</c:v>
                </c:pt>
                <c:pt idx="48">
                  <c:v>0.51103909124644864</c:v>
                </c:pt>
                <c:pt idx="49">
                  <c:v>0.50397089086335345</c:v>
                </c:pt>
                <c:pt idx="50">
                  <c:v>0.4970004510185641</c:v>
                </c:pt>
                <c:pt idx="51">
                  <c:v>0.49012641958249575</c:v>
                </c:pt>
                <c:pt idx="52">
                  <c:v>0.48334746312691729</c:v>
                </c:pt>
                <c:pt idx="53">
                  <c:v>0.47666226666629236</c:v>
                </c:pt>
                <c:pt idx="54">
                  <c:v>0.47006953340269758</c:v>
                </c:pt>
                <c:pt idx="55">
                  <c:v>0.46356798447426928</c:v>
                </c:pt>
                <c:pt idx="56">
                  <c:v>0.45715635870712901</c:v>
                </c:pt>
                <c:pt idx="57">
                  <c:v>0.45083341237074037</c:v>
                </c:pt>
                <c:pt idx="58">
                  <c:v>0.44459791893664952</c:v>
                </c:pt>
                <c:pt idx="59">
                  <c:v>0.43844866884056272</c:v>
                </c:pt>
                <c:pt idx="60">
                  <c:v>0.43238446924771412</c:v>
                </c:pt>
                <c:pt idx="61">
                  <c:v>0.42640414382147923</c:v>
                </c:pt>
                <c:pt idx="62">
                  <c:v>0.42050653249518855</c:v>
                </c:pt>
                <c:pt idx="63">
                  <c:v>0.41469049124709711</c:v>
                </c:pt>
                <c:pt idx="64">
                  <c:v>0.40895489187846656</c:v>
                </c:pt>
                <c:pt idx="65">
                  <c:v>0.40329862179471665</c:v>
                </c:pt>
                <c:pt idx="66">
                  <c:v>0.39772058378960357</c:v>
                </c:pt>
                <c:pt idx="67">
                  <c:v>0.39221969583238303</c:v>
                </c:pt>
                <c:pt idx="68">
                  <c:v>0.38679489085791779</c:v>
                </c:pt>
                <c:pt idx="69">
                  <c:v>0.38144511655968755</c:v>
                </c:pt>
                <c:pt idx="70">
                  <c:v>0.37616933518566198</c:v>
                </c:pt>
                <c:pt idx="71">
                  <c:v>0.37096652333699709</c:v>
                </c:pt>
                <c:pt idx="72">
                  <c:v>0.36583567176951587</c:v>
                </c:pt>
                <c:pt idx="73">
                  <c:v>0.36077578519793424</c:v>
                </c:pt>
              </c:numCache>
            </c:numRef>
          </c:val>
          <c:smooth val="0"/>
        </c:ser>
        <c:dLbls>
          <c:showLegendKey val="0"/>
          <c:showVal val="0"/>
          <c:showCatName val="0"/>
          <c:showSerName val="0"/>
          <c:showPercent val="0"/>
          <c:showBubbleSize val="0"/>
        </c:dLbls>
        <c:marker val="1"/>
        <c:smooth val="0"/>
        <c:axId val="122104448"/>
        <c:axId val="122114432"/>
      </c:lineChart>
      <c:catAx>
        <c:axId val="122104448"/>
        <c:scaling>
          <c:orientation val="minMax"/>
        </c:scaling>
        <c:delete val="0"/>
        <c:axPos val="b"/>
        <c:numFmt formatCode="General" sourceLinked="1"/>
        <c:majorTickMark val="out"/>
        <c:minorTickMark val="none"/>
        <c:tickLblPos val="nextTo"/>
        <c:crossAx val="122114432"/>
        <c:crosses val="autoZero"/>
        <c:auto val="1"/>
        <c:lblAlgn val="ctr"/>
        <c:lblOffset val="100"/>
        <c:noMultiLvlLbl val="0"/>
      </c:catAx>
      <c:valAx>
        <c:axId val="122114432"/>
        <c:scaling>
          <c:orientation val="minMax"/>
          <c:max val="1"/>
        </c:scaling>
        <c:delete val="0"/>
        <c:axPos val="l"/>
        <c:majorGridlines/>
        <c:numFmt formatCode="General" sourceLinked="1"/>
        <c:majorTickMark val="out"/>
        <c:minorTickMark val="none"/>
        <c:tickLblPos val="nextTo"/>
        <c:crossAx val="122104448"/>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42"/>
    </mc:Choice>
    <mc:Fallback>
      <c:style val="42"/>
    </mc:Fallback>
  </mc:AlternateContent>
  <c:chart>
    <c:title>
      <c:tx>
        <c:rich>
          <a:bodyPr/>
          <a:lstStyle/>
          <a:p>
            <a:pPr>
              <a:defRPr/>
            </a:pPr>
            <a:r>
              <a:rPr lang="en-US"/>
              <a:t>Urb. - Ponte do rio</a:t>
            </a:r>
          </a:p>
        </c:rich>
      </c:tx>
      <c:layout/>
      <c:overlay val="0"/>
    </c:title>
    <c:autoTitleDeleted val="0"/>
    <c:plotArea>
      <c:layout>
        <c:manualLayout>
          <c:layoutTarget val="inner"/>
          <c:xMode val="edge"/>
          <c:yMode val="edge"/>
          <c:x val="2.4691358024691357E-2"/>
          <c:y val="0.32444484748597435"/>
          <c:w val="0.95286195286195285"/>
          <c:h val="0.55961308824621336"/>
        </c:manualLayout>
      </c:layout>
      <c:barChart>
        <c:barDir val="bar"/>
        <c:grouping val="stacked"/>
        <c:varyColors val="0"/>
        <c:ser>
          <c:idx val="0"/>
          <c:order val="0"/>
          <c:invertIfNegative val="0"/>
          <c:dLbls>
            <c:showLegendKey val="0"/>
            <c:showVal val="1"/>
            <c:showCatName val="0"/>
            <c:showSerName val="0"/>
            <c:showPercent val="0"/>
            <c:showBubbleSize val="0"/>
            <c:showLeaderLines val="0"/>
          </c:dLbls>
          <c:val>
            <c:numRef>
              <c:f>'2015 - Ciclo de Operação'!$B$35</c:f>
              <c:numCache>
                <c:formatCode>General</c:formatCode>
                <c:ptCount val="1"/>
                <c:pt idx="0">
                  <c:v>7656</c:v>
                </c:pt>
              </c:numCache>
            </c:numRef>
          </c:val>
        </c:ser>
        <c:ser>
          <c:idx val="1"/>
          <c:order val="1"/>
          <c:invertIfNegative val="0"/>
          <c:dLbls>
            <c:dLbl>
              <c:idx val="0"/>
              <c:layout>
                <c:manualLayout>
                  <c:x val="0"/>
                  <c:y val="-0.16809938199110536"/>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'2015 - Ciclo de Operação'!$I$35</c:f>
              <c:numCache>
                <c:formatCode>General</c:formatCode>
                <c:ptCount val="1"/>
                <c:pt idx="0">
                  <c:v>125</c:v>
                </c:pt>
              </c:numCache>
            </c:numRef>
          </c:val>
        </c:ser>
        <c:ser>
          <c:idx val="2"/>
          <c:order val="2"/>
          <c:invertIfNegative val="0"/>
          <c:dLbls>
            <c:showLegendKey val="0"/>
            <c:showVal val="1"/>
            <c:showCatName val="0"/>
            <c:showSerName val="0"/>
            <c:showPercent val="0"/>
            <c:showBubbleSize val="0"/>
            <c:showLeaderLines val="0"/>
          </c:dLbls>
          <c:val>
            <c:numRef>
              <c:f>'2015 - Ciclo de Operação'!$B$36</c:f>
              <c:numCache>
                <c:formatCode>General</c:formatCode>
                <c:ptCount val="1"/>
                <c:pt idx="0">
                  <c:v>336</c:v>
                </c:pt>
              </c:numCache>
            </c:numRef>
          </c:val>
        </c:ser>
        <c:ser>
          <c:idx val="3"/>
          <c:order val="3"/>
          <c:invertIfNegative val="0"/>
          <c:dLbls>
            <c:dLbl>
              <c:idx val="0"/>
              <c:layout>
                <c:manualLayout>
                  <c:x val="-8.6214333154868082E-17"/>
                  <c:y val="-0.16809938199110536"/>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'2015 - Ciclo de Operação'!$I$36</c:f>
              <c:numCache>
                <c:formatCode>General</c:formatCode>
                <c:ptCount val="1"/>
                <c:pt idx="0">
                  <c:v>3</c:v>
                </c:pt>
              </c:numCache>
            </c:numRef>
          </c:val>
        </c:ser>
        <c:ser>
          <c:idx val="4"/>
          <c:order val="4"/>
          <c:invertIfNegative val="0"/>
          <c:dLbls>
            <c:showLegendKey val="0"/>
            <c:showVal val="1"/>
            <c:showCatName val="0"/>
            <c:showSerName val="0"/>
            <c:showPercent val="0"/>
            <c:showBubbleSize val="0"/>
            <c:showLeaderLines val="0"/>
          </c:dLbls>
          <c:val>
            <c:numRef>
              <c:f>'2015 - Ciclo de Operação'!$B$37</c:f>
              <c:numCache>
                <c:formatCode>General</c:formatCode>
                <c:ptCount val="1"/>
                <c:pt idx="0">
                  <c:v>648</c:v>
                </c:pt>
              </c:numCache>
            </c:numRef>
          </c:val>
        </c:ser>
        <c:dLbls>
          <c:showLegendKey val="0"/>
          <c:showVal val="0"/>
          <c:showCatName val="0"/>
          <c:showSerName val="0"/>
          <c:showPercent val="0"/>
          <c:showBubbleSize val="0"/>
        </c:dLbls>
        <c:gapWidth val="150"/>
        <c:overlap val="100"/>
        <c:axId val="109283200"/>
        <c:axId val="109284736"/>
      </c:barChart>
      <c:catAx>
        <c:axId val="109283200"/>
        <c:scaling>
          <c:orientation val="minMax"/>
        </c:scaling>
        <c:delete val="1"/>
        <c:axPos val="l"/>
        <c:majorTickMark val="out"/>
        <c:minorTickMark val="none"/>
        <c:tickLblPos val="nextTo"/>
        <c:crossAx val="109284736"/>
        <c:crosses val="autoZero"/>
        <c:auto val="1"/>
        <c:lblAlgn val="ctr"/>
        <c:lblOffset val="100"/>
        <c:noMultiLvlLbl val="0"/>
      </c:catAx>
      <c:valAx>
        <c:axId val="109284736"/>
        <c:scaling>
          <c:orientation val="minMax"/>
        </c:scaling>
        <c:delete val="1"/>
        <c:axPos val="b"/>
        <c:numFmt formatCode="General" sourceLinked="1"/>
        <c:majorTickMark val="out"/>
        <c:minorTickMark val="none"/>
        <c:tickLblPos val="nextTo"/>
        <c:crossAx val="109283200"/>
        <c:crosses val="autoZero"/>
        <c:crossBetween val="between"/>
      </c:valAx>
      <c:spPr>
        <a:noFill/>
        <a:ln w="25400">
          <a:noFill/>
        </a:ln>
      </c:spPr>
    </c:plotArea>
    <c:plotVisOnly val="1"/>
    <c:dispBlanksAs val="gap"/>
    <c:showDLblsOverMax val="0"/>
  </c:chart>
  <c:printSettings>
    <c:headerFooter/>
    <c:pageMargins b="0.75" l="0.7" r="0.7" t="0.75" header="0.3" footer="0.3"/>
    <c:pageSetup/>
  </c:printSettings>
  <c:userShapes r:id="rId1"/>
</c:chartSpace>
</file>

<file path=xl/charts/chart160.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pt-PT"/>
              <a:t>EQAr - Barreira</a:t>
            </a:r>
          </a:p>
        </c:rich>
      </c:tx>
      <c:overlay val="0"/>
    </c:title>
    <c:autoTitleDeleted val="0"/>
    <c:plotArea>
      <c:layout/>
      <c:lineChart>
        <c:grouping val="standard"/>
        <c:varyColors val="0"/>
        <c:ser>
          <c:idx val="0"/>
          <c:order val="0"/>
          <c:tx>
            <c:v>2011</c:v>
          </c:tx>
          <c:marker>
            <c:symbol val="none"/>
          </c:marker>
          <c:val>
            <c:numRef>
              <c:f>'Postos Urb. ambiente - Exponenc'!$AR$6:$AR$79</c:f>
              <c:numCache>
                <c:formatCode>General</c:formatCode>
                <c:ptCount val="74"/>
                <c:pt idx="0">
                  <c:v>0.99436621212642873</c:v>
                </c:pt>
                <c:pt idx="1">
                  <c:v>0.96666980504299893</c:v>
                </c:pt>
                <c:pt idx="2">
                  <c:v>0.93974483503775652</c:v>
                </c:pt>
                <c:pt idx="3">
                  <c:v>0.91356981502164303</c:v>
                </c:pt>
                <c:pt idx="4">
                  <c:v>0.88812385639251379</c:v>
                </c:pt>
                <c:pt idx="5">
                  <c:v>0.86338665236528644</c:v>
                </c:pt>
                <c:pt idx="6">
                  <c:v>0.83933846176640059</c:v>
                </c:pt>
                <c:pt idx="7">
                  <c:v>0.81596009327965402</c:v>
                </c:pt>
                <c:pt idx="8">
                  <c:v>0.79323289013084741</c:v>
                </c:pt>
                <c:pt idx="9">
                  <c:v>0.77113871519901045</c:v>
                </c:pt>
                <c:pt idx="10">
                  <c:v>0.74965993654233054</c:v>
                </c:pt>
                <c:pt idx="11">
                  <c:v>0.72877941332723295</c:v>
                </c:pt>
                <c:pt idx="12">
                  <c:v>0.70848048214938253</c:v>
                </c:pt>
                <c:pt idx="13">
                  <c:v>0.6887469437356909</c:v>
                </c:pt>
                <c:pt idx="14">
                  <c:v>0.66956305001671734</c:v>
                </c:pt>
                <c:pt idx="15">
                  <c:v>0.6509134915591458</c:v>
                </c:pt>
                <c:pt idx="16">
                  <c:v>0.6327833853483098</c:v>
                </c:pt>
                <c:pt idx="17">
                  <c:v>0.61515826291101483</c:v>
                </c:pt>
                <c:pt idx="18">
                  <c:v>0.59802405876917819</c:v>
                </c:pt>
                <c:pt idx="19">
                  <c:v>0.58136709921507568</c:v>
                </c:pt>
                <c:pt idx="20">
                  <c:v>0.56517409139923269</c:v>
                </c:pt>
                <c:pt idx="21">
                  <c:v>0.54943211272225567</c:v>
                </c:pt>
                <c:pt idx="22">
                  <c:v>0.53412860052213507</c:v>
                </c:pt>
                <c:pt idx="23">
                  <c:v>0.51925134204879231</c:v>
                </c:pt>
                <c:pt idx="24">
                  <c:v>0.50478846471786776</c:v>
                </c:pt>
                <c:pt idx="25">
                  <c:v>0.49072842663597449</c:v>
                </c:pt>
                <c:pt idx="26">
                  <c:v>0.47706000738985388</c:v>
                </c:pt>
                <c:pt idx="27">
                  <c:v>0.46377229909208489</c:v>
                </c:pt>
                <c:pt idx="28">
                  <c:v>0.45085469767619996</c:v>
                </c:pt>
                <c:pt idx="29">
                  <c:v>0.43829689443426012</c:v>
                </c:pt>
                <c:pt idx="30">
                  <c:v>0.42608886779013788</c:v>
                </c:pt>
                <c:pt idx="31">
                  <c:v>0.41422087530194091</c:v>
                </c:pt>
                <c:pt idx="32">
                  <c:v>0.40268344588719479</c:v>
                </c:pt>
                <c:pt idx="33">
                  <c:v>0.39146737226458062</c:v>
                </c:pt>
                <c:pt idx="34">
                  <c:v>0.38056370360619518</c:v>
                </c:pt>
                <c:pt idx="35">
                  <c:v>0.36996373839447022</c:v>
                </c:pt>
                <c:pt idx="36">
                  <c:v>0.35965901747804996</c:v>
                </c:pt>
                <c:pt idx="37">
                  <c:v>0.34964131732108611</c:v>
                </c:pt>
                <c:pt idx="38">
                  <c:v>0.33990264344056198</c:v>
                </c:pt>
                <c:pt idx="39">
                  <c:v>0.33043522402640879</c:v>
                </c:pt>
                <c:pt idx="40">
                  <c:v>0.32123150373932391</c:v>
                </c:pt>
                <c:pt idx="41">
                  <c:v>0.31228413768133945</c:v>
                </c:pt>
                <c:pt idx="42">
                  <c:v>0.30358598553433092</c:v>
                </c:pt>
                <c:pt idx="43">
                  <c:v>0.29513010586178834</c:v>
                </c:pt>
                <c:pt idx="44">
                  <c:v>0.28690975056930129</c:v>
                </c:pt>
                <c:pt idx="45">
                  <c:v>0.27891835951933835</c:v>
                </c:pt>
                <c:pt idx="46">
                  <c:v>0.27114955529602286</c:v>
                </c:pt>
                <c:pt idx="47">
                  <c:v>0.26359713811572677</c:v>
                </c:pt>
                <c:pt idx="48">
                  <c:v>0.25625508087942156</c:v>
                </c:pt>
                <c:pt idx="49">
                  <c:v>0.24911752436283782</c:v>
                </c:pt>
                <c:pt idx="50">
                  <c:v>0.24217877254059458</c:v>
                </c:pt>
                <c:pt idx="51">
                  <c:v>0.23543328804056732</c:v>
                </c:pt>
                <c:pt idx="52">
                  <c:v>0.22887568772486705</c:v>
                </c:pt>
                <c:pt idx="53">
                  <c:v>0.2225007383939038</c:v>
                </c:pt>
                <c:pt idx="54">
                  <c:v>0.21630335261010591</c:v>
                </c:pt>
                <c:pt idx="55">
                  <c:v>0.2102785846379632</c:v>
                </c:pt>
                <c:pt idx="56">
                  <c:v>0.20442162649715306</c:v>
                </c:pt>
                <c:pt idx="57">
                  <c:v>0.19872780412559993</c:v>
                </c:pt>
                <c:pt idx="58">
                  <c:v>0.19319257364940701</c:v>
                </c:pt>
                <c:pt idx="59">
                  <c:v>0.18781151775668212</c:v>
                </c:pt>
                <c:pt idx="60">
                  <c:v>0.1825803421723648</c:v>
                </c:pt>
                <c:pt idx="61">
                  <c:v>0.17749487223124136</c:v>
                </c:pt>
                <c:pt idx="62">
                  <c:v>0.1725510495464127</c:v>
                </c:pt>
                <c:pt idx="63">
                  <c:v>0.16774492877055625</c:v>
                </c:pt>
                <c:pt idx="64">
                  <c:v>0.16307267444739793</c:v>
                </c:pt>
                <c:pt idx="65">
                  <c:v>0.15853055795088075</c:v>
                </c:pt>
                <c:pt idx="66">
                  <c:v>0.15411495450958784</c:v>
                </c:pt>
                <c:pt idx="67">
                  <c:v>0.14982234031404526</c:v>
                </c:pt>
                <c:pt idx="68">
                  <c:v>0.14564928970459604</c:v>
                </c:pt>
                <c:pt idx="69">
                  <c:v>0.14159247243760104</c:v>
                </c:pt>
                <c:pt idx="70">
                  <c:v>0.13764865102778576</c:v>
                </c:pt>
                <c:pt idx="71">
                  <c:v>0.13381467816461109</c:v>
                </c:pt>
                <c:pt idx="72">
                  <c:v>0.13008749420060689</c:v>
                </c:pt>
                <c:pt idx="73">
                  <c:v>0.12646412470966409</c:v>
                </c:pt>
              </c:numCache>
            </c:numRef>
          </c:val>
          <c:smooth val="0"/>
        </c:ser>
        <c:ser>
          <c:idx val="1"/>
          <c:order val="1"/>
          <c:tx>
            <c:v>2013</c:v>
          </c:tx>
          <c:marker>
            <c:symbol val="none"/>
          </c:marker>
          <c:val>
            <c:numRef>
              <c:f>'Postos Urb. ambiente - Exponenc'!$AS$6:$AS$79</c:f>
              <c:numCache>
                <c:formatCode>General</c:formatCode>
                <c:ptCount val="74"/>
                <c:pt idx="0">
                  <c:v>0.99442898380825406</c:v>
                </c:pt>
                <c:pt idx="1">
                  <c:v>0.96703600252135291</c:v>
                </c:pt>
                <c:pt idx="2">
                  <c:v>0.94039760043115894</c:v>
                </c:pt>
                <c:pt idx="3">
                  <c:v>0.91449299156486641</c:v>
                </c:pt>
                <c:pt idx="4">
                  <c:v>0.88930196252928373</c:v>
                </c:pt>
                <c:pt idx="5">
                  <c:v>0.8648048567383021</c:v>
                </c:pt>
                <c:pt idx="6">
                  <c:v>0.84098255907484076</c:v>
                </c:pt>
                <c:pt idx="7">
                  <c:v>0.81781648097530157</c:v>
                </c:pt>
                <c:pt idx="8">
                  <c:v>0.79528854592489329</c:v>
                </c:pt>
                <c:pt idx="9">
                  <c:v>0.77338117535250839</c:v>
                </c:pt>
                <c:pt idx="10">
                  <c:v>0.752077274914146</c:v>
                </c:pt>
                <c:pt idx="11">
                  <c:v>0.73136022115417709</c:v>
                </c:pt>
                <c:pt idx="12">
                  <c:v>0.71121384853404512</c:v>
                </c:pt>
                <c:pt idx="13">
                  <c:v>0.69162243681827928</c:v>
                </c:pt>
                <c:pt idx="14">
                  <c:v>0.67257069880797882</c:v>
                </c:pt>
                <c:pt idx="15">
                  <c:v>0.65404376841219558</c:v>
                </c:pt>
                <c:pt idx="16">
                  <c:v>0.63602718904790756</c:v>
                </c:pt>
                <c:pt idx="17">
                  <c:v>0.61850690235953287</c:v>
                </c:pt>
                <c:pt idx="18">
                  <c:v>0.60146923724917967</c:v>
                </c:pt>
                <c:pt idx="19">
                  <c:v>0.5849008992090744</c:v>
                </c:pt>
                <c:pt idx="20">
                  <c:v>0.56878895994784373</c:v>
                </c:pt>
                <c:pt idx="21">
                  <c:v>0.5531208473025554</c:v>
                </c:pt>
                <c:pt idx="22">
                  <c:v>0.53788433542864633</c:v>
                </c:pt>
                <c:pt idx="23">
                  <c:v>0.52306753526008321</c:v>
                </c:pt>
                <c:pt idx="24">
                  <c:v>0.50865888523231229</c:v>
                </c:pt>
                <c:pt idx="25">
                  <c:v>0.4946471422607584</c:v>
                </c:pt>
                <c:pt idx="26">
                  <c:v>0.48102137296783437</c:v>
                </c:pt>
                <c:pt idx="27">
                  <c:v>0.46777094515161527</c:v>
                </c:pt>
                <c:pt idx="28">
                  <c:v>0.45488551948951989</c:v>
                </c:pt>
                <c:pt idx="29">
                  <c:v>0.44235504147052696</c:v>
                </c:pt>
                <c:pt idx="30">
                  <c:v>0.43016973354962967</c:v>
                </c:pt>
                <c:pt idx="31">
                  <c:v>0.41832008751840699</c:v>
                </c:pt>
                <c:pt idx="32">
                  <c:v>0.40679685708575891</c:v>
                </c:pt>
                <c:pt idx="33">
                  <c:v>0.39559105066301581</c:v>
                </c:pt>
                <c:pt idx="34">
                  <c:v>0.38469392434779259</c:v>
                </c:pt>
                <c:pt idx="35">
                  <c:v>0.37409697510111256</c:v>
                </c:pt>
                <c:pt idx="36">
                  <c:v>0.36379193411247712</c:v>
                </c:pt>
                <c:pt idx="37">
                  <c:v>0.35377076034770455</c:v>
                </c:pt>
                <c:pt idx="38">
                  <c:v>0.34402563427450272</c:v>
                </c:pt>
                <c:pt idx="39">
                  <c:v>0.33454895176087951</c:v>
                </c:pt>
                <c:pt idx="40">
                  <c:v>0.32533331814163124</c:v>
                </c:pt>
                <c:pt idx="41">
                  <c:v>0.31637154244827759</c:v>
                </c:pt>
                <c:pt idx="42">
                  <c:v>0.30765663179794123</c:v>
                </c:pt>
                <c:pt idx="43">
                  <c:v>0.29918178593679412</c:v>
                </c:pt>
                <c:pt idx="44">
                  <c:v>0.29094039193381266</c:v>
                </c:pt>
                <c:pt idx="45">
                  <c:v>0.28292601902070036</c:v>
                </c:pt>
                <c:pt idx="46">
                  <c:v>0.27513241357395296</c:v>
                </c:pt>
                <c:pt idx="47">
                  <c:v>0.26755349423514935</c:v>
                </c:pt>
                <c:pt idx="48">
                  <c:v>0.26018334716566116</c:v>
                </c:pt>
                <c:pt idx="49">
                  <c:v>0.2530162214320788</c:v>
                </c:pt>
                <c:pt idx="50">
                  <c:v>0.24604652451875172</c:v>
                </c:pt>
                <c:pt idx="51">
                  <c:v>0.23926881796394273</c:v>
                </c:pt>
                <c:pt idx="52">
                  <c:v>0.23267781311619076</c:v>
                </c:pt>
                <c:pt idx="53">
                  <c:v>0.22626836700757058</c:v>
                </c:pt>
                <c:pt idx="54">
                  <c:v>0.22003547834062961</c:v>
                </c:pt>
                <c:pt idx="55">
                  <c:v>0.21397428358587031</c:v>
                </c:pt>
                <c:pt idx="56">
                  <c:v>0.20808005318673303</c:v>
                </c:pt>
                <c:pt idx="57">
                  <c:v>0.2023481878691181</c:v>
                </c:pt>
                <c:pt idx="58">
                  <c:v>0.19677421505256759</c:v>
                </c:pt>
                <c:pt idx="59">
                  <c:v>0.19135378536030612</c:v>
                </c:pt>
                <c:pt idx="60">
                  <c:v>0.1860826692254175</c:v>
                </c:pt>
                <c:pt idx="61">
                  <c:v>0.18095675359050942</c:v>
                </c:pt>
                <c:pt idx="62">
                  <c:v>0.1759720386982904</c:v>
                </c:pt>
                <c:pt idx="63">
                  <c:v>0.17112463497055513</c:v>
                </c:pt>
                <c:pt idx="64">
                  <c:v>0.16641075997314245</c:v>
                </c:pt>
                <c:pt idx="65">
                  <c:v>0.16182673546449816</c:v>
                </c:pt>
                <c:pt idx="66">
                  <c:v>0.15736898452553913</c:v>
                </c:pt>
                <c:pt idx="67">
                  <c:v>0.15303402876857986</c:v>
                </c:pt>
                <c:pt idx="68">
                  <c:v>0.14881848562314282</c:v>
                </c:pt>
                <c:pt idx="69">
                  <c:v>0.14471906569653517</c:v>
                </c:pt>
                <c:pt idx="70">
                  <c:v>0.14073257020713237</c:v>
                </c:pt>
                <c:pt idx="71">
                  <c:v>0.13685588848836538</c:v>
                </c:pt>
                <c:pt idx="72">
                  <c:v>0.13308599556146444</c:v>
                </c:pt>
                <c:pt idx="73">
                  <c:v>0.12941994977506494</c:v>
                </c:pt>
              </c:numCache>
            </c:numRef>
          </c:val>
          <c:smooth val="0"/>
        </c:ser>
        <c:ser>
          <c:idx val="2"/>
          <c:order val="2"/>
          <c:tx>
            <c:v>2014</c:v>
          </c:tx>
          <c:marker>
            <c:symbol val="none"/>
          </c:marker>
          <c:val>
            <c:numRef>
              <c:f>'Postos Urb. ambiente - Exponenc'!$AT$6:$AT$79</c:f>
              <c:numCache>
                <c:formatCode>General</c:formatCode>
                <c:ptCount val="74"/>
                <c:pt idx="0">
                  <c:v>0.99721836062779279</c:v>
                </c:pt>
                <c:pt idx="1">
                  <c:v>0.98342579696807908</c:v>
                </c:pt>
                <c:pt idx="2">
                  <c:v>0.96982399876136749</c:v>
                </c:pt>
                <c:pt idx="3">
                  <c:v>0.95641032752369259</c:v>
                </c:pt>
                <c:pt idx="4">
                  <c:v>0.94318218126405728</c:v>
                </c:pt>
                <c:pt idx="5">
                  <c:v>0.93013699397969707</c:v>
                </c:pt>
                <c:pt idx="6">
                  <c:v>0.9172722351583259</c:v>
                </c:pt>
                <c:pt idx="7">
                  <c:v>0.9045854092872655</c:v>
                </c:pt>
                <c:pt idx="8">
                  <c:v>0.89207405536936502</c:v>
                </c:pt>
                <c:pt idx="9">
                  <c:v>0.87973574644561525</c:v>
                </c:pt>
                <c:pt idx="10">
                  <c:v>0.867568089124366</c:v>
                </c:pt>
                <c:pt idx="11">
                  <c:v>0.85556872311705456</c:v>
                </c:pt>
                <c:pt idx="12">
                  <c:v>0.84373532078035562</c:v>
                </c:pt>
                <c:pt idx="13">
                  <c:v>0.83206558666466413</c:v>
                </c:pt>
                <c:pt idx="14">
                  <c:v>0.82055725706882254</c:v>
                </c:pt>
                <c:pt idx="15">
                  <c:v>0.80920809960100692</c:v>
                </c:pt>
                <c:pt idx="16">
                  <c:v>0.79801591274568617</c:v>
                </c:pt>
                <c:pt idx="17">
                  <c:v>0.78697852543657143</c:v>
                </c:pt>
                <c:pt idx="18">
                  <c:v>0.77609379663547085</c:v>
                </c:pt>
                <c:pt idx="19">
                  <c:v>0.76535961491697058</c:v>
                </c:pt>
                <c:pt idx="20">
                  <c:v>0.75477389805885875</c:v>
                </c:pt>
                <c:pt idx="21">
                  <c:v>0.74433459263821511</c:v>
                </c:pt>
                <c:pt idx="22">
                  <c:v>0.73403967363308709</c:v>
                </c:pt>
                <c:pt idx="23">
                  <c:v>0.7238871440296748</c:v>
                </c:pt>
                <c:pt idx="24">
                  <c:v>0.7138750344349496</c:v>
                </c:pt>
                <c:pt idx="25">
                  <c:v>0.70400140269462974</c:v>
                </c:pt>
                <c:pt idx="26">
                  <c:v>0.69426433351644024</c:v>
                </c:pt>
                <c:pt idx="27">
                  <c:v>0.68466193809858422</c:v>
                </c:pt>
                <c:pt idx="28">
                  <c:v>0.67519235376335118</c:v>
                </c:pt>
                <c:pt idx="29">
                  <c:v>0.66585374359579441</c:v>
                </c:pt>
                <c:pt idx="30">
                  <c:v>0.65664429608740515</c:v>
                </c:pt>
                <c:pt idx="31">
                  <c:v>0.64756222478471492</c:v>
                </c:pt>
                <c:pt idx="32">
                  <c:v>0.63860576794275881</c:v>
                </c:pt>
                <c:pt idx="33">
                  <c:v>0.62977318818333095</c:v>
                </c:pt>
                <c:pt idx="34">
                  <c:v>0.62106277215796701</c:v>
                </c:pt>
                <c:pt idx="35">
                  <c:v>0.61247283021558807</c:v>
                </c:pt>
                <c:pt idx="36">
                  <c:v>0.60400169607474108</c:v>
                </c:pt>
                <c:pt idx="37">
                  <c:v>0.5956477265003729</c:v>
                </c:pt>
                <c:pt idx="38">
                  <c:v>0.58740930098507438</c:v>
                </c:pt>
                <c:pt idx="39">
                  <c:v>0.57928482143473381</c:v>
                </c:pt>
                <c:pt idx="40">
                  <c:v>0.57127271185853779</c:v>
                </c:pt>
                <c:pt idx="41">
                  <c:v>0.56337141806325919</c:v>
                </c:pt>
                <c:pt idx="42">
                  <c:v>0.5555794073517748</c:v>
                </c:pt>
                <c:pt idx="43">
                  <c:v>0.54789516822575102</c:v>
                </c:pt>
                <c:pt idx="44">
                  <c:v>0.54031721009244316</c:v>
                </c:pt>
                <c:pt idx="45">
                  <c:v>0.53284406297554965</c:v>
                </c:pt>
                <c:pt idx="46">
                  <c:v>0.52547427723006446</c:v>
                </c:pt>
                <c:pt idx="47">
                  <c:v>0.51820642326107513</c:v>
                </c:pt>
                <c:pt idx="48">
                  <c:v>0.51103909124644864</c:v>
                </c:pt>
                <c:pt idx="49">
                  <c:v>0.50397089086335345</c:v>
                </c:pt>
                <c:pt idx="50">
                  <c:v>0.4970004510185641</c:v>
                </c:pt>
                <c:pt idx="51">
                  <c:v>0.49012641958249575</c:v>
                </c:pt>
                <c:pt idx="52">
                  <c:v>0.48334746312691729</c:v>
                </c:pt>
                <c:pt idx="53">
                  <c:v>0.47666226666629236</c:v>
                </c:pt>
                <c:pt idx="54">
                  <c:v>0.47006953340269758</c:v>
                </c:pt>
                <c:pt idx="55">
                  <c:v>0.46356798447426928</c:v>
                </c:pt>
                <c:pt idx="56">
                  <c:v>0.45715635870712901</c:v>
                </c:pt>
                <c:pt idx="57">
                  <c:v>0.45083341237074037</c:v>
                </c:pt>
                <c:pt idx="58">
                  <c:v>0.44459791893664952</c:v>
                </c:pt>
                <c:pt idx="59">
                  <c:v>0.43844866884056272</c:v>
                </c:pt>
                <c:pt idx="60">
                  <c:v>0.43238446924771412</c:v>
                </c:pt>
                <c:pt idx="61">
                  <c:v>0.42640414382147923</c:v>
                </c:pt>
                <c:pt idx="62">
                  <c:v>0.42050653249518855</c:v>
                </c:pt>
                <c:pt idx="63">
                  <c:v>0.41469049124709711</c:v>
                </c:pt>
                <c:pt idx="64">
                  <c:v>0.40895489187846656</c:v>
                </c:pt>
                <c:pt idx="65">
                  <c:v>0.40329862179471665</c:v>
                </c:pt>
                <c:pt idx="66">
                  <c:v>0.39772058378960357</c:v>
                </c:pt>
                <c:pt idx="67">
                  <c:v>0.39221969583238303</c:v>
                </c:pt>
                <c:pt idx="68">
                  <c:v>0.38679489085791779</c:v>
                </c:pt>
                <c:pt idx="69">
                  <c:v>0.38144511655968755</c:v>
                </c:pt>
                <c:pt idx="70">
                  <c:v>0.37616933518566198</c:v>
                </c:pt>
                <c:pt idx="71">
                  <c:v>0.37096652333699709</c:v>
                </c:pt>
                <c:pt idx="72">
                  <c:v>0.36583567176951587</c:v>
                </c:pt>
                <c:pt idx="73">
                  <c:v>0.36077578519793424</c:v>
                </c:pt>
              </c:numCache>
            </c:numRef>
          </c:val>
          <c:smooth val="0"/>
        </c:ser>
        <c:ser>
          <c:idx val="3"/>
          <c:order val="3"/>
          <c:tx>
            <c:v>2015</c:v>
          </c:tx>
          <c:marker>
            <c:symbol val="none"/>
          </c:marker>
          <c:val>
            <c:numRef>
              <c:f>'Postos Urb. ambiente - Exponenc'!$AU$6:$AU$79</c:f>
              <c:numCache>
                <c:formatCode>General</c:formatCode>
                <c:ptCount val="74"/>
                <c:pt idx="0">
                  <c:v>0.99721836062779279</c:v>
                </c:pt>
                <c:pt idx="1">
                  <c:v>0.98342579696807908</c:v>
                </c:pt>
                <c:pt idx="2">
                  <c:v>0.96982399876136749</c:v>
                </c:pt>
                <c:pt idx="3">
                  <c:v>0.95641032752369259</c:v>
                </c:pt>
                <c:pt idx="4">
                  <c:v>0.94318218126405728</c:v>
                </c:pt>
                <c:pt idx="5">
                  <c:v>0.93013699397969707</c:v>
                </c:pt>
                <c:pt idx="6">
                  <c:v>0.9172722351583259</c:v>
                </c:pt>
                <c:pt idx="7">
                  <c:v>0.9045854092872655</c:v>
                </c:pt>
                <c:pt idx="8">
                  <c:v>0.89207405536936502</c:v>
                </c:pt>
                <c:pt idx="9">
                  <c:v>0.87973574644561525</c:v>
                </c:pt>
                <c:pt idx="10">
                  <c:v>0.867568089124366</c:v>
                </c:pt>
                <c:pt idx="11">
                  <c:v>0.85556872311705456</c:v>
                </c:pt>
                <c:pt idx="12">
                  <c:v>0.84373532078035562</c:v>
                </c:pt>
                <c:pt idx="13">
                  <c:v>0.83206558666466413</c:v>
                </c:pt>
                <c:pt idx="14">
                  <c:v>0.82055725706882254</c:v>
                </c:pt>
                <c:pt idx="15">
                  <c:v>0.80920809960100692</c:v>
                </c:pt>
                <c:pt idx="16">
                  <c:v>0.79801591274568617</c:v>
                </c:pt>
                <c:pt idx="17">
                  <c:v>0.78697852543657143</c:v>
                </c:pt>
                <c:pt idx="18">
                  <c:v>0.77609379663547085</c:v>
                </c:pt>
                <c:pt idx="19">
                  <c:v>0.76535961491697058</c:v>
                </c:pt>
                <c:pt idx="20">
                  <c:v>0.75477389805885875</c:v>
                </c:pt>
                <c:pt idx="21">
                  <c:v>0.74433459263821511</c:v>
                </c:pt>
                <c:pt idx="22">
                  <c:v>0.73403967363308709</c:v>
                </c:pt>
                <c:pt idx="23">
                  <c:v>0.7238871440296748</c:v>
                </c:pt>
                <c:pt idx="24">
                  <c:v>0.7138750344349496</c:v>
                </c:pt>
                <c:pt idx="25">
                  <c:v>0.70400140269462974</c:v>
                </c:pt>
                <c:pt idx="26">
                  <c:v>0.69426433351644024</c:v>
                </c:pt>
                <c:pt idx="27">
                  <c:v>0.68466193809858422</c:v>
                </c:pt>
                <c:pt idx="28">
                  <c:v>0.67519235376335118</c:v>
                </c:pt>
                <c:pt idx="29">
                  <c:v>0.66585374359579441</c:v>
                </c:pt>
                <c:pt idx="30">
                  <c:v>0.65664429608740515</c:v>
                </c:pt>
                <c:pt idx="31">
                  <c:v>0.64756222478471492</c:v>
                </c:pt>
                <c:pt idx="32">
                  <c:v>0.63860576794275881</c:v>
                </c:pt>
                <c:pt idx="33">
                  <c:v>0.62977318818333095</c:v>
                </c:pt>
                <c:pt idx="34">
                  <c:v>0.62106277215796701</c:v>
                </c:pt>
                <c:pt idx="35">
                  <c:v>0.61247283021558807</c:v>
                </c:pt>
                <c:pt idx="36">
                  <c:v>0.60400169607474108</c:v>
                </c:pt>
                <c:pt idx="37">
                  <c:v>0.5956477265003729</c:v>
                </c:pt>
                <c:pt idx="38">
                  <c:v>0.58740930098507438</c:v>
                </c:pt>
                <c:pt idx="39">
                  <c:v>0.57928482143473381</c:v>
                </c:pt>
                <c:pt idx="40">
                  <c:v>0.57127271185853779</c:v>
                </c:pt>
                <c:pt idx="41">
                  <c:v>0.56337141806325919</c:v>
                </c:pt>
                <c:pt idx="42">
                  <c:v>0.5555794073517748</c:v>
                </c:pt>
                <c:pt idx="43">
                  <c:v>0.54789516822575102</c:v>
                </c:pt>
                <c:pt idx="44">
                  <c:v>0.54031721009244316</c:v>
                </c:pt>
                <c:pt idx="45">
                  <c:v>0.53284406297554965</c:v>
                </c:pt>
                <c:pt idx="46">
                  <c:v>0.52547427723006446</c:v>
                </c:pt>
                <c:pt idx="47">
                  <c:v>0.51820642326107513</c:v>
                </c:pt>
                <c:pt idx="48">
                  <c:v>0.51103909124644864</c:v>
                </c:pt>
                <c:pt idx="49">
                  <c:v>0.50397089086335345</c:v>
                </c:pt>
                <c:pt idx="50">
                  <c:v>0.4970004510185641</c:v>
                </c:pt>
                <c:pt idx="51">
                  <c:v>0.49012641958249575</c:v>
                </c:pt>
                <c:pt idx="52">
                  <c:v>0.48334746312691729</c:v>
                </c:pt>
                <c:pt idx="53">
                  <c:v>0.47666226666629236</c:v>
                </c:pt>
                <c:pt idx="54">
                  <c:v>0.47006953340269758</c:v>
                </c:pt>
                <c:pt idx="55">
                  <c:v>0.46356798447426928</c:v>
                </c:pt>
                <c:pt idx="56">
                  <c:v>0.45715635870712901</c:v>
                </c:pt>
                <c:pt idx="57">
                  <c:v>0.45083341237074037</c:v>
                </c:pt>
                <c:pt idx="58">
                  <c:v>0.44459791893664952</c:v>
                </c:pt>
                <c:pt idx="59">
                  <c:v>0.43844866884056272</c:v>
                </c:pt>
                <c:pt idx="60">
                  <c:v>0.43238446924771412</c:v>
                </c:pt>
                <c:pt idx="61">
                  <c:v>0.42640414382147923</c:v>
                </c:pt>
                <c:pt idx="62">
                  <c:v>0.42050653249518855</c:v>
                </c:pt>
                <c:pt idx="63">
                  <c:v>0.41469049124709711</c:v>
                </c:pt>
                <c:pt idx="64">
                  <c:v>0.40895489187846656</c:v>
                </c:pt>
                <c:pt idx="65">
                  <c:v>0.40329862179471665</c:v>
                </c:pt>
                <c:pt idx="66">
                  <c:v>0.39772058378960357</c:v>
                </c:pt>
                <c:pt idx="67">
                  <c:v>0.39221969583238303</c:v>
                </c:pt>
                <c:pt idx="68">
                  <c:v>0.38679489085791779</c:v>
                </c:pt>
                <c:pt idx="69">
                  <c:v>0.38144511655968755</c:v>
                </c:pt>
                <c:pt idx="70">
                  <c:v>0.37616933518566198</c:v>
                </c:pt>
                <c:pt idx="71">
                  <c:v>0.37096652333699709</c:v>
                </c:pt>
                <c:pt idx="72">
                  <c:v>0.36583567176951587</c:v>
                </c:pt>
                <c:pt idx="73">
                  <c:v>0.36077578519793424</c:v>
                </c:pt>
              </c:numCache>
            </c:numRef>
          </c:val>
          <c:smooth val="0"/>
        </c:ser>
        <c:dLbls>
          <c:showLegendKey val="0"/>
          <c:showVal val="0"/>
          <c:showCatName val="0"/>
          <c:showSerName val="0"/>
          <c:showPercent val="0"/>
          <c:showBubbleSize val="0"/>
        </c:dLbls>
        <c:marker val="1"/>
        <c:smooth val="0"/>
        <c:axId val="122149504"/>
        <c:axId val="122155392"/>
      </c:lineChart>
      <c:catAx>
        <c:axId val="122149504"/>
        <c:scaling>
          <c:orientation val="minMax"/>
        </c:scaling>
        <c:delete val="0"/>
        <c:axPos val="b"/>
        <c:numFmt formatCode="General" sourceLinked="1"/>
        <c:majorTickMark val="out"/>
        <c:minorTickMark val="none"/>
        <c:tickLblPos val="nextTo"/>
        <c:crossAx val="122155392"/>
        <c:crosses val="autoZero"/>
        <c:auto val="1"/>
        <c:lblAlgn val="ctr"/>
        <c:lblOffset val="100"/>
        <c:noMultiLvlLbl val="0"/>
      </c:catAx>
      <c:valAx>
        <c:axId val="122155392"/>
        <c:scaling>
          <c:orientation val="minMax"/>
          <c:max val="1"/>
        </c:scaling>
        <c:delete val="0"/>
        <c:axPos val="l"/>
        <c:majorGridlines/>
        <c:numFmt formatCode="General" sourceLinked="1"/>
        <c:majorTickMark val="out"/>
        <c:minorTickMark val="none"/>
        <c:tickLblPos val="nextTo"/>
        <c:crossAx val="122149504"/>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161.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pt-PT"/>
              <a:t>EQAr - Parque</a:t>
            </a:r>
          </a:p>
        </c:rich>
      </c:tx>
      <c:overlay val="0"/>
    </c:title>
    <c:autoTitleDeleted val="0"/>
    <c:plotArea>
      <c:layout/>
      <c:lineChart>
        <c:grouping val="standard"/>
        <c:varyColors val="0"/>
        <c:ser>
          <c:idx val="0"/>
          <c:order val="0"/>
          <c:tx>
            <c:v>2010</c:v>
          </c:tx>
          <c:marker>
            <c:symbol val="none"/>
          </c:marker>
          <c:val>
            <c:numRef>
              <c:f>'Postos Urb. ambiente - Exponenc'!$AV$6:$AV$79</c:f>
              <c:numCache>
                <c:formatCode>General</c:formatCode>
                <c:ptCount val="74"/>
                <c:pt idx="0">
                  <c:v>0.99721836062779279</c:v>
                </c:pt>
                <c:pt idx="1">
                  <c:v>0.98342579696807908</c:v>
                </c:pt>
                <c:pt idx="2">
                  <c:v>0.96982399876136749</c:v>
                </c:pt>
                <c:pt idx="3">
                  <c:v>0.95641032752369259</c:v>
                </c:pt>
                <c:pt idx="4">
                  <c:v>0.94318218126405728</c:v>
                </c:pt>
                <c:pt idx="5">
                  <c:v>0.93013699397969707</c:v>
                </c:pt>
                <c:pt idx="6">
                  <c:v>0.9172722351583259</c:v>
                </c:pt>
                <c:pt idx="7">
                  <c:v>0.9045854092872655</c:v>
                </c:pt>
                <c:pt idx="8">
                  <c:v>0.89207405536936502</c:v>
                </c:pt>
                <c:pt idx="9">
                  <c:v>0.87973574644561525</c:v>
                </c:pt>
                <c:pt idx="10">
                  <c:v>0.867568089124366</c:v>
                </c:pt>
                <c:pt idx="11">
                  <c:v>0.85556872311705456</c:v>
                </c:pt>
                <c:pt idx="12">
                  <c:v>0.84373532078035562</c:v>
                </c:pt>
                <c:pt idx="13">
                  <c:v>0.83206558666466413</c:v>
                </c:pt>
                <c:pt idx="14">
                  <c:v>0.82055725706882254</c:v>
                </c:pt>
                <c:pt idx="15">
                  <c:v>0.80920809960100692</c:v>
                </c:pt>
                <c:pt idx="16">
                  <c:v>0.79801591274568617</c:v>
                </c:pt>
                <c:pt idx="17">
                  <c:v>0.78697852543657143</c:v>
                </c:pt>
                <c:pt idx="18">
                  <c:v>0.77609379663547085</c:v>
                </c:pt>
                <c:pt idx="19">
                  <c:v>0.76535961491697058</c:v>
                </c:pt>
                <c:pt idx="20">
                  <c:v>0.75477389805885875</c:v>
                </c:pt>
                <c:pt idx="21">
                  <c:v>0.74433459263821511</c:v>
                </c:pt>
                <c:pt idx="22">
                  <c:v>0.73403967363308709</c:v>
                </c:pt>
                <c:pt idx="23">
                  <c:v>0.7238871440296748</c:v>
                </c:pt>
                <c:pt idx="24">
                  <c:v>0.7138750344349496</c:v>
                </c:pt>
                <c:pt idx="25">
                  <c:v>0.70400140269462974</c:v>
                </c:pt>
                <c:pt idx="26">
                  <c:v>0.69426433351644024</c:v>
                </c:pt>
                <c:pt idx="27">
                  <c:v>0.68466193809858422</c:v>
                </c:pt>
                <c:pt idx="28">
                  <c:v>0.67519235376335118</c:v>
                </c:pt>
                <c:pt idx="29">
                  <c:v>0.66585374359579441</c:v>
                </c:pt>
                <c:pt idx="30">
                  <c:v>0.65664429608740515</c:v>
                </c:pt>
                <c:pt idx="31">
                  <c:v>0.64756222478471492</c:v>
                </c:pt>
                <c:pt idx="32">
                  <c:v>0.63860576794275881</c:v>
                </c:pt>
                <c:pt idx="33">
                  <c:v>0.62977318818333095</c:v>
                </c:pt>
                <c:pt idx="34">
                  <c:v>0.62106277215796701</c:v>
                </c:pt>
                <c:pt idx="35">
                  <c:v>0.61247283021558807</c:v>
                </c:pt>
                <c:pt idx="36">
                  <c:v>0.60400169607474108</c:v>
                </c:pt>
                <c:pt idx="37">
                  <c:v>0.5956477265003729</c:v>
                </c:pt>
                <c:pt idx="38">
                  <c:v>0.58740930098507438</c:v>
                </c:pt>
                <c:pt idx="39">
                  <c:v>0.57928482143473381</c:v>
                </c:pt>
                <c:pt idx="40">
                  <c:v>0.57127271185853779</c:v>
                </c:pt>
                <c:pt idx="41">
                  <c:v>0.56337141806325919</c:v>
                </c:pt>
                <c:pt idx="42">
                  <c:v>0.5555794073517748</c:v>
                </c:pt>
                <c:pt idx="43">
                  <c:v>0.54789516822575102</c:v>
                </c:pt>
                <c:pt idx="44">
                  <c:v>0.54031721009244316</c:v>
                </c:pt>
                <c:pt idx="45">
                  <c:v>0.53284406297554965</c:v>
                </c:pt>
                <c:pt idx="46">
                  <c:v>0.52547427723006446</c:v>
                </c:pt>
                <c:pt idx="47">
                  <c:v>0.51820642326107513</c:v>
                </c:pt>
                <c:pt idx="48">
                  <c:v>0.51103909124644864</c:v>
                </c:pt>
                <c:pt idx="49">
                  <c:v>0.50397089086335345</c:v>
                </c:pt>
                <c:pt idx="50">
                  <c:v>0.4970004510185641</c:v>
                </c:pt>
                <c:pt idx="51">
                  <c:v>0.49012641958249575</c:v>
                </c:pt>
                <c:pt idx="52">
                  <c:v>0.48334746312691729</c:v>
                </c:pt>
                <c:pt idx="53">
                  <c:v>0.47666226666629236</c:v>
                </c:pt>
                <c:pt idx="54">
                  <c:v>0.47006953340269758</c:v>
                </c:pt>
                <c:pt idx="55">
                  <c:v>0.46356798447426928</c:v>
                </c:pt>
                <c:pt idx="56">
                  <c:v>0.45715635870712901</c:v>
                </c:pt>
                <c:pt idx="57">
                  <c:v>0.45083341237074037</c:v>
                </c:pt>
                <c:pt idx="58">
                  <c:v>0.44459791893664952</c:v>
                </c:pt>
                <c:pt idx="59">
                  <c:v>0.43844866884056272</c:v>
                </c:pt>
                <c:pt idx="60">
                  <c:v>0.43238446924771412</c:v>
                </c:pt>
                <c:pt idx="61">
                  <c:v>0.42640414382147923</c:v>
                </c:pt>
                <c:pt idx="62">
                  <c:v>0.42050653249518855</c:v>
                </c:pt>
                <c:pt idx="63">
                  <c:v>0.41469049124709711</c:v>
                </c:pt>
                <c:pt idx="64">
                  <c:v>0.40895489187846656</c:v>
                </c:pt>
                <c:pt idx="65">
                  <c:v>0.40329862179471665</c:v>
                </c:pt>
                <c:pt idx="66">
                  <c:v>0.39772058378960357</c:v>
                </c:pt>
                <c:pt idx="67">
                  <c:v>0.39221969583238303</c:v>
                </c:pt>
                <c:pt idx="68">
                  <c:v>0.38679489085791779</c:v>
                </c:pt>
                <c:pt idx="69">
                  <c:v>0.38144511655968755</c:v>
                </c:pt>
                <c:pt idx="70">
                  <c:v>0.37616933518566198</c:v>
                </c:pt>
                <c:pt idx="71">
                  <c:v>0.37096652333699709</c:v>
                </c:pt>
                <c:pt idx="72">
                  <c:v>0.36583567176951587</c:v>
                </c:pt>
                <c:pt idx="73">
                  <c:v>0.36077578519793424</c:v>
                </c:pt>
              </c:numCache>
            </c:numRef>
          </c:val>
          <c:smooth val="0"/>
        </c:ser>
        <c:ser>
          <c:idx val="1"/>
          <c:order val="1"/>
          <c:tx>
            <c:v>2011</c:v>
          </c:tx>
          <c:marker>
            <c:symbol val="none"/>
          </c:marker>
          <c:val>
            <c:numRef>
              <c:f>'Postos Urb. ambiente - Exponenc'!$AW$6:$AW$79</c:f>
              <c:numCache>
                <c:formatCode>General</c:formatCode>
                <c:ptCount val="74"/>
                <c:pt idx="0">
                  <c:v>0.99718706233562282</c:v>
                </c:pt>
                <c:pt idx="1">
                  <c:v>0.98324061907233784</c:v>
                </c:pt>
                <c:pt idx="2">
                  <c:v>0.96948922775772173</c:v>
                </c:pt>
                <c:pt idx="3">
                  <c:v>0.95593016043727319</c:v>
                </c:pt>
                <c:pt idx="4">
                  <c:v>0.94256072730907403</c:v>
                </c:pt>
                <c:pt idx="5">
                  <c:v>0.92937827619019631</c:v>
                </c:pt>
                <c:pt idx="6">
                  <c:v>0.91638019199057019</c:v>
                </c:pt>
                <c:pt idx="7">
                  <c:v>0.90356389619421207</c:v>
                </c:pt>
                <c:pt idx="8">
                  <c:v>0.89092684634770691</c:v>
                </c:pt>
                <c:pt idx="9">
                  <c:v>0.87846653555584486</c:v>
                </c:pt>
                <c:pt idx="10">
                  <c:v>0.86618049198431224</c:v>
                </c:pt>
                <c:pt idx="11">
                  <c:v>0.8540662783693368</c:v>
                </c:pt>
                <c:pt idx="12">
                  <c:v>0.84212149153419236</c:v>
                </c:pt>
                <c:pt idx="13">
                  <c:v>0.83034376191246395</c:v>
                </c:pt>
                <c:pt idx="14">
                  <c:v>0.81873075307798182</c:v>
                </c:pt>
                <c:pt idx="15">
                  <c:v>0.80728016128132896</c:v>
                </c:pt>
                <c:pt idx="16">
                  <c:v>0.79598971499283078</c:v>
                </c:pt>
                <c:pt idx="17">
                  <c:v>0.78485717445193715</c:v>
                </c:pt>
                <c:pt idx="18">
                  <c:v>0.77388033122290611</c:v>
                </c:pt>
                <c:pt idx="19">
                  <c:v>0.76305700775670182</c:v>
                </c:pt>
                <c:pt idx="20">
                  <c:v>0.75238505695901969</c:v>
                </c:pt>
                <c:pt idx="21">
                  <c:v>0.7418623617643535</c:v>
                </c:pt>
                <c:pt idx="22">
                  <c:v>0.73148683471601827</c:v>
                </c:pt>
                <c:pt idx="23">
                  <c:v>0.7212564175520485</c:v>
                </c:pt>
                <c:pt idx="24">
                  <c:v>0.71116908079688679</c:v>
                </c:pt>
                <c:pt idx="25">
                  <c:v>0.70122282335878316</c:v>
                </c:pt>
                <c:pt idx="26">
                  <c:v>0.69141567213282573</c:v>
                </c:pt>
                <c:pt idx="27">
                  <c:v>0.68174568160952198</c:v>
                </c:pt>
                <c:pt idx="28">
                  <c:v>0.67221093348885619</c:v>
                </c:pt>
                <c:pt idx="29">
                  <c:v>0.66280953629974304</c:v>
                </c:pt>
                <c:pt idx="30">
                  <c:v>0.65353962502480367</c:v>
                </c:pt>
                <c:pt idx="31">
                  <c:v>0.6443993607303905</c:v>
                </c:pt>
                <c:pt idx="32">
                  <c:v>0.63538693020178549</c:v>
                </c:pt>
                <c:pt idx="33">
                  <c:v>0.62650054558350055</c:v>
                </c:pt>
                <c:pt idx="34">
                  <c:v>0.61773844402460909</c:v>
                </c:pt>
                <c:pt idx="35">
                  <c:v>0.60909888732903739</c:v>
                </c:pt>
                <c:pt idx="36">
                  <c:v>0.60058016161074745</c:v>
                </c:pt>
                <c:pt idx="37">
                  <c:v>0.59218057695374171</c:v>
                </c:pt>
                <c:pt idx="38">
                  <c:v>0.58389846707682369</c:v>
                </c:pt>
                <c:pt idx="39">
                  <c:v>0.57573218900304624</c:v>
                </c:pt>
                <c:pt idx="40">
                  <c:v>0.56768012273378343</c:v>
                </c:pt>
                <c:pt idx="41">
                  <c:v>0.55974067092736135</c:v>
                </c:pt>
                <c:pt idx="42">
                  <c:v>0.55191225858218174</c:v>
                </c:pt>
                <c:pt idx="43">
                  <c:v>0.54419333272427961</c:v>
                </c:pt>
                <c:pt idx="44">
                  <c:v>0.53658236209924881</c:v>
                </c:pt>
                <c:pt idx="45">
                  <c:v>0.52907783686847731</c:v>
                </c:pt>
                <c:pt idx="46">
                  <c:v>0.52167826830963016</c:v>
                </c:pt>
                <c:pt idx="47">
                  <c:v>0.51438218852132234</c:v>
                </c:pt>
                <c:pt idx="48">
                  <c:v>0.50718815013192076</c:v>
                </c:pt>
                <c:pt idx="49">
                  <c:v>0.50009472601242033</c:v>
                </c:pt>
                <c:pt idx="50">
                  <c:v>0.49310050899333419</c:v>
                </c:pt>
                <c:pt idx="51">
                  <c:v>0.48620411158554483</c:v>
                </c:pt>
                <c:pt idx="52">
                  <c:v>0.47940416570505817</c:v>
                </c:pt>
                <c:pt idx="53">
                  <c:v>0.47269932240160806</c:v>
                </c:pt>
                <c:pt idx="54">
                  <c:v>0.46608825159105588</c:v>
                </c:pt>
                <c:pt idx="55">
                  <c:v>0.45956964179153303</c:v>
                </c:pt>
                <c:pt idx="56">
                  <c:v>0.45314219986327359</c:v>
                </c:pt>
                <c:pt idx="57">
                  <c:v>0.44680465075208559</c:v>
                </c:pt>
                <c:pt idx="58">
                  <c:v>0.44055573723641012</c:v>
                </c:pt>
                <c:pt idx="59">
                  <c:v>0.4343942196779178</c:v>
                </c:pt>
                <c:pt idx="60">
                  <c:v>0.4283188757755938</c:v>
                </c:pt>
                <c:pt idx="61">
                  <c:v>0.42232850032326186</c:v>
                </c:pt>
                <c:pt idx="62">
                  <c:v>0.41642190497049919</c:v>
                </c:pt>
                <c:pt idx="63">
                  <c:v>0.41059791798689604</c:v>
                </c:pt>
                <c:pt idx="64">
                  <c:v>0.40485538402961146</c:v>
                </c:pt>
                <c:pt idx="65">
                  <c:v>0.3991931639141803</c:v>
                </c:pt>
                <c:pt idx="66">
                  <c:v>0.39361013438852588</c:v>
                </c:pt>
                <c:pt idx="67">
                  <c:v>0.38810518791013288</c:v>
                </c:pt>
                <c:pt idx="68">
                  <c:v>0.38267723242633672</c:v>
                </c:pt>
                <c:pt idx="69">
                  <c:v>0.37732519115768598</c:v>
                </c:pt>
                <c:pt idx="70">
                  <c:v>0.37204800238433455</c:v>
                </c:pt>
                <c:pt idx="71">
                  <c:v>0.36684461923542117</c:v>
                </c:pt>
                <c:pt idx="72">
                  <c:v>0.36171400948139465</c:v>
                </c:pt>
                <c:pt idx="73">
                  <c:v>0.35665515532924386</c:v>
                </c:pt>
              </c:numCache>
            </c:numRef>
          </c:val>
          <c:smooth val="0"/>
        </c:ser>
        <c:ser>
          <c:idx val="2"/>
          <c:order val="2"/>
          <c:tx>
            <c:v>2012</c:v>
          </c:tx>
          <c:marker>
            <c:symbol val="none"/>
          </c:marker>
          <c:val>
            <c:numRef>
              <c:f>'Postos Urb. ambiente - Exponenc'!$AX$6:$AX$79</c:f>
              <c:numCache>
                <c:formatCode>General</c:formatCode>
                <c:ptCount val="74"/>
                <c:pt idx="0">
                  <c:v>0.99163184820119987</c:v>
                </c:pt>
                <c:pt idx="1">
                  <c:v>0.95082983222576778</c:v>
                </c:pt>
                <c:pt idx="2">
                  <c:v>0.91170666965815983</c:v>
                </c:pt>
                <c:pt idx="3">
                  <c:v>0.87419328183406031</c:v>
                </c:pt>
                <c:pt idx="4">
                  <c:v>0.8382234324229999</c:v>
                </c:pt>
                <c:pt idx="5">
                  <c:v>0.80373361047673531</c:v>
                </c:pt>
                <c:pt idx="6">
                  <c:v>0.77066291828975986</c:v>
                </c:pt>
                <c:pt idx="7">
                  <c:v>0.73895296387394338</c:v>
                </c:pt>
                <c:pt idx="8">
                  <c:v>0.70854775785744606</c:v>
                </c:pt>
                <c:pt idx="9">
                  <c:v>0.67939361462586423</c:v>
                </c:pt>
                <c:pt idx="10">
                  <c:v>0.65143905753105558</c:v>
                </c:pt>
                <c:pt idx="11">
                  <c:v>0.62463472800027442</c:v>
                </c:pt>
                <c:pt idx="12">
                  <c:v>0.59893329838513198</c:v>
                </c:pt>
                <c:pt idx="13">
                  <c:v>0.57428938839650279</c:v>
                </c:pt>
                <c:pt idx="14">
                  <c:v>0.55065948497782913</c:v>
                </c:pt>
                <c:pt idx="15">
                  <c:v>0.52800186547534433</c:v>
                </c:pt>
                <c:pt idx="16">
                  <c:v>0.50627652396956024</c:v>
                </c:pt>
                <c:pt idx="17">
                  <c:v>0.48544510063794399</c:v>
                </c:pt>
                <c:pt idx="18">
                  <c:v>0.46547081402406171</c:v>
                </c:pt>
                <c:pt idx="19">
                  <c:v>0.44631839609359841</c:v>
                </c:pt>
                <c:pt idx="20">
                  <c:v>0.42795402996258514</c:v>
                </c:pt>
                <c:pt idx="21">
                  <c:v>0.41034529018788096</c:v>
                </c:pt>
                <c:pt idx="22">
                  <c:v>0.39346108551448272</c:v>
                </c:pt>
                <c:pt idx="23">
                  <c:v>0.37727160397857362</c:v>
                </c:pt>
                <c:pt idx="24">
                  <c:v>0.36174826026937951</c:v>
                </c:pt>
                <c:pt idx="25">
                  <c:v>0.34686364525689234</c:v>
                </c:pt>
                <c:pt idx="26">
                  <c:v>0.33259147759634267</c:v>
                </c:pt>
                <c:pt idx="27">
                  <c:v>0.31890655732397044</c:v>
                </c:pt>
                <c:pt idx="28">
                  <c:v>0.30578472136216034</c:v>
                </c:pt>
                <c:pt idx="29">
                  <c:v>0.29320280085537731</c:v>
                </c:pt>
                <c:pt idx="30">
                  <c:v>0.28113858026157157</c:v>
                </c:pt>
                <c:pt idx="31">
                  <c:v>0.26957075812682357</c:v>
                </c:pt>
                <c:pt idx="32">
                  <c:v>0.25847890947396718</c:v>
                </c:pt>
                <c:pt idx="33">
                  <c:v>0.24784344973878408</c:v>
                </c:pt>
                <c:pt idx="34">
                  <c:v>0.23764560019009123</c:v>
                </c:pt>
                <c:pt idx="35">
                  <c:v>0.22786735477266509</c:v>
                </c:pt>
                <c:pt idx="36">
                  <c:v>0.21849144831445771</c:v>
                </c:pt>
                <c:pt idx="37">
                  <c:v>0.20950132604196997</c:v>
                </c:pt>
                <c:pt idx="38">
                  <c:v>0.20088111434995476</c:v>
                </c:pt>
                <c:pt idx="39">
                  <c:v>0.19261559277384013</c:v>
                </c:pt>
                <c:pt idx="40">
                  <c:v>0.18469016711538452</c:v>
                </c:pt>
                <c:pt idx="41">
                  <c:v>0.17709084367411268</c:v>
                </c:pt>
                <c:pt idx="42">
                  <c:v>0.16980420453903336</c:v>
                </c:pt>
                <c:pt idx="43">
                  <c:v>0.16281738389701275</c:v>
                </c:pt>
                <c:pt idx="44">
                  <c:v>0.15611804531597109</c:v>
                </c:pt>
                <c:pt idx="45">
                  <c:v>0.14969435996279248</c:v>
                </c:pt>
                <c:pt idx="46">
                  <c:v>0.14353498571748824</c:v>
                </c:pt>
                <c:pt idx="47">
                  <c:v>0.13762904714673543</c:v>
                </c:pt>
                <c:pt idx="48">
                  <c:v>0.13196611630143124</c:v>
                </c:pt>
                <c:pt idx="49">
                  <c:v>0.12653619430435736</c:v>
                </c:pt>
                <c:pt idx="50">
                  <c:v>0.12132969369544465</c:v>
                </c:pt>
                <c:pt idx="51">
                  <c:v>0.11633742150346545</c:v>
                </c:pt>
                <c:pt idx="52">
                  <c:v>0.11155056301426348</c:v>
                </c:pt>
                <c:pt idx="53">
                  <c:v>0.10696066620686187</c:v>
                </c:pt>
                <c:pt idx="54">
                  <c:v>0.10255962682996832</c:v>
                </c:pt>
                <c:pt idx="55">
                  <c:v>9.8339674092526932E-2</c:v>
                </c:pt>
                <c:pt idx="56">
                  <c:v>9.4293356943051951E-2</c:v>
                </c:pt>
                <c:pt idx="57">
                  <c:v>9.0413530913516352E-2</c:v>
                </c:pt>
                <c:pt idx="58">
                  <c:v>8.6693345504566074E-2</c:v>
                </c:pt>
                <c:pt idx="59">
                  <c:v>8.3126232089786686E-2</c:v>
                </c:pt>
                <c:pt idx="60">
                  <c:v>7.9705892317665172E-2</c:v>
                </c:pt>
                <c:pt idx="61">
                  <c:v>7.6426286990768116E-2</c:v>
                </c:pt>
                <c:pt idx="62">
                  <c:v>7.3281625402501355E-2</c:v>
                </c:pt>
                <c:pt idx="63">
                  <c:v>7.0266355112622761E-2</c:v>
                </c:pt>
                <c:pt idx="64">
                  <c:v>6.7375152143455019E-2</c:v>
                </c:pt>
                <c:pt idx="65">
                  <c:v>6.4602911579488526E-2</c:v>
                </c:pt>
                <c:pt idx="66">
                  <c:v>6.1944738553776177E-2</c:v>
                </c:pt>
                <c:pt idx="67">
                  <c:v>5.9395939605204784E-2</c:v>
                </c:pt>
                <c:pt idx="68">
                  <c:v>5.6952014391383234E-2</c:v>
                </c:pt>
                <c:pt idx="69">
                  <c:v>5.4608647742515011E-2</c:v>
                </c:pt>
                <c:pt idx="70">
                  <c:v>5.2361702042224491E-2</c:v>
                </c:pt>
                <c:pt idx="71">
                  <c:v>5.0207209921884495E-2</c:v>
                </c:pt>
                <c:pt idx="72">
                  <c:v>4.814136725554554E-2</c:v>
                </c:pt>
                <c:pt idx="73">
                  <c:v>4.6160526443097816E-2</c:v>
                </c:pt>
              </c:numCache>
            </c:numRef>
          </c:val>
          <c:smooth val="0"/>
        </c:ser>
        <c:ser>
          <c:idx val="3"/>
          <c:order val="3"/>
          <c:tx>
            <c:v>2013</c:v>
          </c:tx>
          <c:marker>
            <c:symbol val="none"/>
          </c:marker>
          <c:val>
            <c:numRef>
              <c:f>'Postos Urb. ambiente - Exponenc'!$AY$6:$AY$79</c:f>
              <c:numCache>
                <c:formatCode>General</c:formatCode>
                <c:ptCount val="74"/>
                <c:pt idx="0">
                  <c:v>0.99721836062779279</c:v>
                </c:pt>
                <c:pt idx="1">
                  <c:v>0.98342579696807908</c:v>
                </c:pt>
                <c:pt idx="2">
                  <c:v>0.96982399876136749</c:v>
                </c:pt>
                <c:pt idx="3">
                  <c:v>0.95641032752369259</c:v>
                </c:pt>
                <c:pt idx="4">
                  <c:v>0.94318218126405728</c:v>
                </c:pt>
                <c:pt idx="5">
                  <c:v>0.93013699397969707</c:v>
                </c:pt>
                <c:pt idx="6">
                  <c:v>0.9172722351583259</c:v>
                </c:pt>
                <c:pt idx="7">
                  <c:v>0.9045854092872655</c:v>
                </c:pt>
                <c:pt idx="8">
                  <c:v>0.89207405536936502</c:v>
                </c:pt>
                <c:pt idx="9">
                  <c:v>0.87973574644561525</c:v>
                </c:pt>
                <c:pt idx="10">
                  <c:v>0.867568089124366</c:v>
                </c:pt>
                <c:pt idx="11">
                  <c:v>0.85556872311705456</c:v>
                </c:pt>
                <c:pt idx="12">
                  <c:v>0.84373532078035562</c:v>
                </c:pt>
                <c:pt idx="13">
                  <c:v>0.83206558666466413</c:v>
                </c:pt>
                <c:pt idx="14">
                  <c:v>0.82055725706882254</c:v>
                </c:pt>
                <c:pt idx="15">
                  <c:v>0.80920809960100692</c:v>
                </c:pt>
                <c:pt idx="16">
                  <c:v>0.79801591274568617</c:v>
                </c:pt>
                <c:pt idx="17">
                  <c:v>0.78697852543657143</c:v>
                </c:pt>
                <c:pt idx="18">
                  <c:v>0.77609379663547085</c:v>
                </c:pt>
                <c:pt idx="19">
                  <c:v>0.76535961491697058</c:v>
                </c:pt>
                <c:pt idx="20">
                  <c:v>0.75477389805885875</c:v>
                </c:pt>
                <c:pt idx="21">
                  <c:v>0.74433459263821511</c:v>
                </c:pt>
                <c:pt idx="22">
                  <c:v>0.73403967363308709</c:v>
                </c:pt>
                <c:pt idx="23">
                  <c:v>0.7238871440296748</c:v>
                </c:pt>
                <c:pt idx="24">
                  <c:v>0.7138750344349496</c:v>
                </c:pt>
                <c:pt idx="25">
                  <c:v>0.70400140269462974</c:v>
                </c:pt>
                <c:pt idx="26">
                  <c:v>0.69426433351644024</c:v>
                </c:pt>
                <c:pt idx="27">
                  <c:v>0.68466193809858422</c:v>
                </c:pt>
                <c:pt idx="28">
                  <c:v>0.67519235376335118</c:v>
                </c:pt>
                <c:pt idx="29">
                  <c:v>0.66585374359579441</c:v>
                </c:pt>
                <c:pt idx="30">
                  <c:v>0.65664429608740515</c:v>
                </c:pt>
                <c:pt idx="31">
                  <c:v>0.64756222478471492</c:v>
                </c:pt>
                <c:pt idx="32">
                  <c:v>0.63860576794275881</c:v>
                </c:pt>
                <c:pt idx="33">
                  <c:v>0.62977318818333095</c:v>
                </c:pt>
                <c:pt idx="34">
                  <c:v>0.62106277215796701</c:v>
                </c:pt>
                <c:pt idx="35">
                  <c:v>0.61247283021558807</c:v>
                </c:pt>
                <c:pt idx="36">
                  <c:v>0.60400169607474108</c:v>
                </c:pt>
                <c:pt idx="37">
                  <c:v>0.5956477265003729</c:v>
                </c:pt>
                <c:pt idx="38">
                  <c:v>0.58740930098507438</c:v>
                </c:pt>
                <c:pt idx="39">
                  <c:v>0.57928482143473381</c:v>
                </c:pt>
                <c:pt idx="40">
                  <c:v>0.57127271185853779</c:v>
                </c:pt>
                <c:pt idx="41">
                  <c:v>0.56337141806325919</c:v>
                </c:pt>
                <c:pt idx="42">
                  <c:v>0.5555794073517748</c:v>
                </c:pt>
                <c:pt idx="43">
                  <c:v>0.54789516822575102</c:v>
                </c:pt>
                <c:pt idx="44">
                  <c:v>0.54031721009244316</c:v>
                </c:pt>
                <c:pt idx="45">
                  <c:v>0.53284406297554965</c:v>
                </c:pt>
                <c:pt idx="46">
                  <c:v>0.52547427723006446</c:v>
                </c:pt>
                <c:pt idx="47">
                  <c:v>0.51820642326107513</c:v>
                </c:pt>
                <c:pt idx="48">
                  <c:v>0.51103909124644864</c:v>
                </c:pt>
                <c:pt idx="49">
                  <c:v>0.50397089086335345</c:v>
                </c:pt>
                <c:pt idx="50">
                  <c:v>0.4970004510185641</c:v>
                </c:pt>
                <c:pt idx="51">
                  <c:v>0.49012641958249575</c:v>
                </c:pt>
                <c:pt idx="52">
                  <c:v>0.48334746312691729</c:v>
                </c:pt>
                <c:pt idx="53">
                  <c:v>0.47666226666629236</c:v>
                </c:pt>
                <c:pt idx="54">
                  <c:v>0.47006953340269758</c:v>
                </c:pt>
                <c:pt idx="55">
                  <c:v>0.46356798447426928</c:v>
                </c:pt>
                <c:pt idx="56">
                  <c:v>0.45715635870712901</c:v>
                </c:pt>
                <c:pt idx="57">
                  <c:v>0.45083341237074037</c:v>
                </c:pt>
                <c:pt idx="58">
                  <c:v>0.44459791893664952</c:v>
                </c:pt>
                <c:pt idx="59">
                  <c:v>0.43844866884056272</c:v>
                </c:pt>
                <c:pt idx="60">
                  <c:v>0.43238446924771412</c:v>
                </c:pt>
                <c:pt idx="61">
                  <c:v>0.42640414382147923</c:v>
                </c:pt>
                <c:pt idx="62">
                  <c:v>0.42050653249518855</c:v>
                </c:pt>
                <c:pt idx="63">
                  <c:v>0.41469049124709711</c:v>
                </c:pt>
                <c:pt idx="64">
                  <c:v>0.40895489187846656</c:v>
                </c:pt>
                <c:pt idx="65">
                  <c:v>0.40329862179471665</c:v>
                </c:pt>
                <c:pt idx="66">
                  <c:v>0.39772058378960357</c:v>
                </c:pt>
                <c:pt idx="67">
                  <c:v>0.39221969583238303</c:v>
                </c:pt>
                <c:pt idx="68">
                  <c:v>0.38679489085791779</c:v>
                </c:pt>
                <c:pt idx="69">
                  <c:v>0.38144511655968755</c:v>
                </c:pt>
                <c:pt idx="70">
                  <c:v>0.37616933518566198</c:v>
                </c:pt>
                <c:pt idx="71">
                  <c:v>0.37096652333699709</c:v>
                </c:pt>
                <c:pt idx="72">
                  <c:v>0.36583567176951587</c:v>
                </c:pt>
                <c:pt idx="73">
                  <c:v>0.36077578519793424</c:v>
                </c:pt>
              </c:numCache>
            </c:numRef>
          </c:val>
          <c:smooth val="0"/>
        </c:ser>
        <c:ser>
          <c:idx val="4"/>
          <c:order val="4"/>
          <c:tx>
            <c:v>2014</c:v>
          </c:tx>
          <c:marker>
            <c:symbol val="none"/>
          </c:marker>
          <c:val>
            <c:numRef>
              <c:f>'Postos Urb. ambiente - Exponenc'!$AZ$6:$AZ$79</c:f>
              <c:numCache>
                <c:formatCode>General</c:formatCode>
                <c:ptCount val="74"/>
                <c:pt idx="0">
                  <c:v>0.99721836062779279</c:v>
                </c:pt>
                <c:pt idx="1">
                  <c:v>0.98342579696807908</c:v>
                </c:pt>
                <c:pt idx="2">
                  <c:v>0.96982399876136749</c:v>
                </c:pt>
                <c:pt idx="3">
                  <c:v>0.95641032752369259</c:v>
                </c:pt>
                <c:pt idx="4">
                  <c:v>0.94318218126405728</c:v>
                </c:pt>
                <c:pt idx="5">
                  <c:v>0.93013699397969707</c:v>
                </c:pt>
                <c:pt idx="6">
                  <c:v>0.9172722351583259</c:v>
                </c:pt>
                <c:pt idx="7">
                  <c:v>0.9045854092872655</c:v>
                </c:pt>
                <c:pt idx="8">
                  <c:v>0.89207405536936502</c:v>
                </c:pt>
                <c:pt idx="9">
                  <c:v>0.87973574644561525</c:v>
                </c:pt>
                <c:pt idx="10">
                  <c:v>0.867568089124366</c:v>
                </c:pt>
                <c:pt idx="11">
                  <c:v>0.85556872311705456</c:v>
                </c:pt>
                <c:pt idx="12">
                  <c:v>0.84373532078035562</c:v>
                </c:pt>
                <c:pt idx="13">
                  <c:v>0.83206558666466413</c:v>
                </c:pt>
                <c:pt idx="14">
                  <c:v>0.82055725706882254</c:v>
                </c:pt>
                <c:pt idx="15">
                  <c:v>0.80920809960100692</c:v>
                </c:pt>
                <c:pt idx="16">
                  <c:v>0.79801591274568617</c:v>
                </c:pt>
                <c:pt idx="17">
                  <c:v>0.78697852543657143</c:v>
                </c:pt>
                <c:pt idx="18">
                  <c:v>0.77609379663547085</c:v>
                </c:pt>
                <c:pt idx="19">
                  <c:v>0.76535961491697058</c:v>
                </c:pt>
                <c:pt idx="20">
                  <c:v>0.75477389805885875</c:v>
                </c:pt>
                <c:pt idx="21">
                  <c:v>0.74433459263821511</c:v>
                </c:pt>
                <c:pt idx="22">
                  <c:v>0.73403967363308709</c:v>
                </c:pt>
                <c:pt idx="23">
                  <c:v>0.7238871440296748</c:v>
                </c:pt>
                <c:pt idx="24">
                  <c:v>0.7138750344349496</c:v>
                </c:pt>
                <c:pt idx="25">
                  <c:v>0.70400140269462974</c:v>
                </c:pt>
                <c:pt idx="26">
                  <c:v>0.69426433351644024</c:v>
                </c:pt>
                <c:pt idx="27">
                  <c:v>0.68466193809858422</c:v>
                </c:pt>
                <c:pt idx="28">
                  <c:v>0.67519235376335118</c:v>
                </c:pt>
                <c:pt idx="29">
                  <c:v>0.66585374359579441</c:v>
                </c:pt>
                <c:pt idx="30">
                  <c:v>0.65664429608740515</c:v>
                </c:pt>
                <c:pt idx="31">
                  <c:v>0.64756222478471492</c:v>
                </c:pt>
                <c:pt idx="32">
                  <c:v>0.63860576794275881</c:v>
                </c:pt>
                <c:pt idx="33">
                  <c:v>0.62977318818333095</c:v>
                </c:pt>
                <c:pt idx="34">
                  <c:v>0.62106277215796701</c:v>
                </c:pt>
                <c:pt idx="35">
                  <c:v>0.61247283021558807</c:v>
                </c:pt>
                <c:pt idx="36">
                  <c:v>0.60400169607474108</c:v>
                </c:pt>
                <c:pt idx="37">
                  <c:v>0.5956477265003729</c:v>
                </c:pt>
                <c:pt idx="38">
                  <c:v>0.58740930098507438</c:v>
                </c:pt>
                <c:pt idx="39">
                  <c:v>0.57928482143473381</c:v>
                </c:pt>
                <c:pt idx="40">
                  <c:v>0.57127271185853779</c:v>
                </c:pt>
                <c:pt idx="41">
                  <c:v>0.56337141806325919</c:v>
                </c:pt>
                <c:pt idx="42">
                  <c:v>0.5555794073517748</c:v>
                </c:pt>
                <c:pt idx="43">
                  <c:v>0.54789516822575102</c:v>
                </c:pt>
                <c:pt idx="44">
                  <c:v>0.54031721009244316</c:v>
                </c:pt>
                <c:pt idx="45">
                  <c:v>0.53284406297554965</c:v>
                </c:pt>
                <c:pt idx="46">
                  <c:v>0.52547427723006446</c:v>
                </c:pt>
                <c:pt idx="47">
                  <c:v>0.51820642326107513</c:v>
                </c:pt>
                <c:pt idx="48">
                  <c:v>0.51103909124644864</c:v>
                </c:pt>
                <c:pt idx="49">
                  <c:v>0.50397089086335345</c:v>
                </c:pt>
                <c:pt idx="50">
                  <c:v>0.4970004510185641</c:v>
                </c:pt>
                <c:pt idx="51">
                  <c:v>0.49012641958249575</c:v>
                </c:pt>
                <c:pt idx="52">
                  <c:v>0.48334746312691729</c:v>
                </c:pt>
                <c:pt idx="53">
                  <c:v>0.47666226666629236</c:v>
                </c:pt>
                <c:pt idx="54">
                  <c:v>0.47006953340269758</c:v>
                </c:pt>
                <c:pt idx="55">
                  <c:v>0.46356798447426928</c:v>
                </c:pt>
                <c:pt idx="56">
                  <c:v>0.45715635870712901</c:v>
                </c:pt>
                <c:pt idx="57">
                  <c:v>0.45083341237074037</c:v>
                </c:pt>
                <c:pt idx="58">
                  <c:v>0.44459791893664952</c:v>
                </c:pt>
                <c:pt idx="59">
                  <c:v>0.43844866884056272</c:v>
                </c:pt>
                <c:pt idx="60">
                  <c:v>0.43238446924771412</c:v>
                </c:pt>
                <c:pt idx="61">
                  <c:v>0.42640414382147923</c:v>
                </c:pt>
                <c:pt idx="62">
                  <c:v>0.42050653249518855</c:v>
                </c:pt>
                <c:pt idx="63">
                  <c:v>0.41469049124709711</c:v>
                </c:pt>
                <c:pt idx="64">
                  <c:v>0.40895489187846656</c:v>
                </c:pt>
                <c:pt idx="65">
                  <c:v>0.40329862179471665</c:v>
                </c:pt>
                <c:pt idx="66">
                  <c:v>0.39772058378960357</c:v>
                </c:pt>
                <c:pt idx="67">
                  <c:v>0.39221969583238303</c:v>
                </c:pt>
                <c:pt idx="68">
                  <c:v>0.38679489085791779</c:v>
                </c:pt>
                <c:pt idx="69">
                  <c:v>0.38144511655968755</c:v>
                </c:pt>
                <c:pt idx="70">
                  <c:v>0.37616933518566198</c:v>
                </c:pt>
                <c:pt idx="71">
                  <c:v>0.37096652333699709</c:v>
                </c:pt>
                <c:pt idx="72">
                  <c:v>0.36583567176951587</c:v>
                </c:pt>
                <c:pt idx="73">
                  <c:v>0.36077578519793424</c:v>
                </c:pt>
              </c:numCache>
            </c:numRef>
          </c:val>
          <c:smooth val="0"/>
        </c:ser>
        <c:dLbls>
          <c:showLegendKey val="0"/>
          <c:showVal val="0"/>
          <c:showCatName val="0"/>
          <c:showSerName val="0"/>
          <c:showPercent val="0"/>
          <c:showBubbleSize val="0"/>
        </c:dLbls>
        <c:marker val="1"/>
        <c:smooth val="0"/>
        <c:axId val="122244480"/>
        <c:axId val="122254464"/>
      </c:lineChart>
      <c:catAx>
        <c:axId val="122244480"/>
        <c:scaling>
          <c:orientation val="minMax"/>
        </c:scaling>
        <c:delete val="0"/>
        <c:axPos val="b"/>
        <c:numFmt formatCode="General" sourceLinked="1"/>
        <c:majorTickMark val="out"/>
        <c:minorTickMark val="none"/>
        <c:tickLblPos val="nextTo"/>
        <c:crossAx val="122254464"/>
        <c:crosses val="autoZero"/>
        <c:auto val="1"/>
        <c:lblAlgn val="ctr"/>
        <c:lblOffset val="100"/>
        <c:noMultiLvlLbl val="0"/>
      </c:catAx>
      <c:valAx>
        <c:axId val="122254464"/>
        <c:scaling>
          <c:orientation val="minMax"/>
          <c:max val="1"/>
        </c:scaling>
        <c:delete val="0"/>
        <c:axPos val="l"/>
        <c:majorGridlines/>
        <c:numFmt formatCode="General" sourceLinked="1"/>
        <c:majorTickMark val="out"/>
        <c:minorTickMark val="none"/>
        <c:tickLblPos val="nextTo"/>
        <c:crossAx val="122244480"/>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162.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pt-PT"/>
              <a:t>EQAr - Pontão</a:t>
            </a:r>
          </a:p>
        </c:rich>
      </c:tx>
      <c:overlay val="0"/>
    </c:title>
    <c:autoTitleDeleted val="0"/>
    <c:plotArea>
      <c:layout/>
      <c:lineChart>
        <c:grouping val="standard"/>
        <c:varyColors val="0"/>
        <c:ser>
          <c:idx val="0"/>
          <c:order val="0"/>
          <c:tx>
            <c:v>2011</c:v>
          </c:tx>
          <c:marker>
            <c:symbol val="none"/>
          </c:marker>
          <c:val>
            <c:numRef>
              <c:f>'Postos Urb. ambiente - Exponenc'!$BA$6:$BA$79</c:f>
              <c:numCache>
                <c:formatCode>General</c:formatCode>
                <c:ptCount val="74"/>
                <c:pt idx="0">
                  <c:v>0.99718706233562282</c:v>
                </c:pt>
                <c:pt idx="1">
                  <c:v>0.98324061907233784</c:v>
                </c:pt>
                <c:pt idx="2">
                  <c:v>0.96948922775772173</c:v>
                </c:pt>
                <c:pt idx="3">
                  <c:v>0.95593016043727319</c:v>
                </c:pt>
                <c:pt idx="4">
                  <c:v>0.94256072730907403</c:v>
                </c:pt>
                <c:pt idx="5">
                  <c:v>0.92937827619019631</c:v>
                </c:pt>
                <c:pt idx="6">
                  <c:v>0.91638019199057019</c:v>
                </c:pt>
                <c:pt idx="7">
                  <c:v>0.90356389619421207</c:v>
                </c:pt>
                <c:pt idx="8">
                  <c:v>0.89092684634770691</c:v>
                </c:pt>
                <c:pt idx="9">
                  <c:v>0.87846653555584486</c:v>
                </c:pt>
                <c:pt idx="10">
                  <c:v>0.86618049198431224</c:v>
                </c:pt>
                <c:pt idx="11">
                  <c:v>0.8540662783693368</c:v>
                </c:pt>
                <c:pt idx="12">
                  <c:v>0.84212149153419236</c:v>
                </c:pt>
                <c:pt idx="13">
                  <c:v>0.83034376191246395</c:v>
                </c:pt>
                <c:pt idx="14">
                  <c:v>0.81873075307798182</c:v>
                </c:pt>
                <c:pt idx="15">
                  <c:v>0.80728016128132896</c:v>
                </c:pt>
                <c:pt idx="16">
                  <c:v>0.79598971499283078</c:v>
                </c:pt>
                <c:pt idx="17">
                  <c:v>0.78485717445193715</c:v>
                </c:pt>
                <c:pt idx="18">
                  <c:v>0.77388033122290611</c:v>
                </c:pt>
                <c:pt idx="19">
                  <c:v>0.76305700775670182</c:v>
                </c:pt>
                <c:pt idx="20">
                  <c:v>0.75238505695901969</c:v>
                </c:pt>
                <c:pt idx="21">
                  <c:v>0.7418623617643535</c:v>
                </c:pt>
                <c:pt idx="22">
                  <c:v>0.73148683471601827</c:v>
                </c:pt>
                <c:pt idx="23">
                  <c:v>0.7212564175520485</c:v>
                </c:pt>
                <c:pt idx="24">
                  <c:v>0.71116908079688679</c:v>
                </c:pt>
                <c:pt idx="25">
                  <c:v>0.70122282335878316</c:v>
                </c:pt>
                <c:pt idx="26">
                  <c:v>0.69141567213282573</c:v>
                </c:pt>
                <c:pt idx="27">
                  <c:v>0.68174568160952198</c:v>
                </c:pt>
                <c:pt idx="28">
                  <c:v>0.67221093348885619</c:v>
                </c:pt>
                <c:pt idx="29">
                  <c:v>0.66280953629974304</c:v>
                </c:pt>
                <c:pt idx="30">
                  <c:v>0.65353962502480367</c:v>
                </c:pt>
                <c:pt idx="31">
                  <c:v>0.6443993607303905</c:v>
                </c:pt>
                <c:pt idx="32">
                  <c:v>0.63538693020178549</c:v>
                </c:pt>
                <c:pt idx="33">
                  <c:v>0.62650054558350055</c:v>
                </c:pt>
                <c:pt idx="34">
                  <c:v>0.61773844402460909</c:v>
                </c:pt>
                <c:pt idx="35">
                  <c:v>0.60909888732903739</c:v>
                </c:pt>
                <c:pt idx="36">
                  <c:v>0.60058016161074745</c:v>
                </c:pt>
                <c:pt idx="37">
                  <c:v>0.59218057695374171</c:v>
                </c:pt>
                <c:pt idx="38">
                  <c:v>0.58389846707682369</c:v>
                </c:pt>
                <c:pt idx="39">
                  <c:v>0.57573218900304624</c:v>
                </c:pt>
                <c:pt idx="40">
                  <c:v>0.56768012273378343</c:v>
                </c:pt>
                <c:pt idx="41">
                  <c:v>0.55974067092736135</c:v>
                </c:pt>
                <c:pt idx="42">
                  <c:v>0.55191225858218174</c:v>
                </c:pt>
                <c:pt idx="43">
                  <c:v>0.54419333272427961</c:v>
                </c:pt>
                <c:pt idx="44">
                  <c:v>0.53658236209924881</c:v>
                </c:pt>
                <c:pt idx="45">
                  <c:v>0.52907783686847731</c:v>
                </c:pt>
                <c:pt idx="46">
                  <c:v>0.52167826830963016</c:v>
                </c:pt>
                <c:pt idx="47">
                  <c:v>0.51438218852132234</c:v>
                </c:pt>
                <c:pt idx="48">
                  <c:v>0.50718815013192076</c:v>
                </c:pt>
                <c:pt idx="49">
                  <c:v>0.50009472601242033</c:v>
                </c:pt>
                <c:pt idx="50">
                  <c:v>0.49310050899333419</c:v>
                </c:pt>
                <c:pt idx="51">
                  <c:v>0.48620411158554483</c:v>
                </c:pt>
                <c:pt idx="52">
                  <c:v>0.47940416570505817</c:v>
                </c:pt>
                <c:pt idx="53">
                  <c:v>0.47269932240160806</c:v>
                </c:pt>
                <c:pt idx="54">
                  <c:v>0.46608825159105588</c:v>
                </c:pt>
                <c:pt idx="55">
                  <c:v>0.45956964179153303</c:v>
                </c:pt>
                <c:pt idx="56">
                  <c:v>0.45314219986327359</c:v>
                </c:pt>
                <c:pt idx="57">
                  <c:v>0.44680465075208559</c:v>
                </c:pt>
                <c:pt idx="58">
                  <c:v>0.44055573723641012</c:v>
                </c:pt>
                <c:pt idx="59">
                  <c:v>0.4343942196779178</c:v>
                </c:pt>
                <c:pt idx="60">
                  <c:v>0.4283188757755938</c:v>
                </c:pt>
                <c:pt idx="61">
                  <c:v>0.42232850032326186</c:v>
                </c:pt>
                <c:pt idx="62">
                  <c:v>0.41642190497049919</c:v>
                </c:pt>
                <c:pt idx="63">
                  <c:v>0.41059791798689604</c:v>
                </c:pt>
                <c:pt idx="64">
                  <c:v>0.40485538402961146</c:v>
                </c:pt>
                <c:pt idx="65">
                  <c:v>0.3991931639141803</c:v>
                </c:pt>
                <c:pt idx="66">
                  <c:v>0.39361013438852588</c:v>
                </c:pt>
                <c:pt idx="67">
                  <c:v>0.38810518791013288</c:v>
                </c:pt>
                <c:pt idx="68">
                  <c:v>0.38267723242633672</c:v>
                </c:pt>
                <c:pt idx="69">
                  <c:v>0.37732519115768598</c:v>
                </c:pt>
                <c:pt idx="70">
                  <c:v>0.37204800238433455</c:v>
                </c:pt>
                <c:pt idx="71">
                  <c:v>0.36684461923542117</c:v>
                </c:pt>
                <c:pt idx="72">
                  <c:v>0.36171400948139465</c:v>
                </c:pt>
                <c:pt idx="73">
                  <c:v>0.35665515532924386</c:v>
                </c:pt>
              </c:numCache>
            </c:numRef>
          </c:val>
          <c:smooth val="0"/>
        </c:ser>
        <c:ser>
          <c:idx val="1"/>
          <c:order val="1"/>
          <c:tx>
            <c:v>2014</c:v>
          </c:tx>
          <c:marker>
            <c:symbol val="none"/>
          </c:marker>
          <c:val>
            <c:numRef>
              <c:f>'Postos Urb. ambiente - Exponenc'!$BB$6:$BB$79</c:f>
              <c:numCache>
                <c:formatCode>General</c:formatCode>
                <c:ptCount val="74"/>
                <c:pt idx="0">
                  <c:v>0.99696510096727764</c:v>
                </c:pt>
                <c:pt idx="1">
                  <c:v>0.98192820719117724</c:v>
                </c:pt>
                <c:pt idx="2">
                  <c:v>0.96711810989392477</c:v>
                </c:pt>
                <c:pt idx="3">
                  <c:v>0.95253138837949203</c:v>
                </c:pt>
                <c:pt idx="4">
                  <c:v>0.93816467354507382</c:v>
                </c:pt>
                <c:pt idx="5">
                  <c:v>0.92401464710292436</c:v>
                </c:pt>
                <c:pt idx="6">
                  <c:v>0.91007804081393084</c:v>
                </c:pt>
                <c:pt idx="7">
                  <c:v>0.89635163573274657</c:v>
                </c:pt>
                <c:pt idx="8">
                  <c:v>0.88283226146430904</c:v>
                </c:pt>
                <c:pt idx="9">
                  <c:v>0.86951679543157279</c:v>
                </c:pt>
                <c:pt idx="10">
                  <c:v>0.85640216215428522</c:v>
                </c:pt>
                <c:pt idx="11">
                  <c:v>0.84348533253864211</c:v>
                </c:pt>
                <c:pt idx="12">
                  <c:v>0.83076332317765589</c:v>
                </c:pt>
                <c:pt idx="13">
                  <c:v>0.81823319566207642</c:v>
                </c:pt>
                <c:pt idx="14">
                  <c:v>0.8058920559017051</c:v>
                </c:pt>
                <c:pt idx="15">
                  <c:v>0.79373705345694567</c:v>
                </c:pt>
                <c:pt idx="16">
                  <c:v>0.78176538088043612</c:v>
                </c:pt>
                <c:pt idx="17">
                  <c:v>0.76997427306861144</c:v>
                </c:pt>
                <c:pt idx="18">
                  <c:v>0.75836100662304617</c:v>
                </c:pt>
                <c:pt idx="19">
                  <c:v>0.74692289922142951</c:v>
                </c:pt>
                <c:pt idx="20">
                  <c:v>0.73565730899802795</c:v>
                </c:pt>
                <c:pt idx="21">
                  <c:v>0.72456163393349193</c:v>
                </c:pt>
                <c:pt idx="22">
                  <c:v>0.71363331125386653</c:v>
                </c:pt>
                <c:pt idx="23">
                  <c:v>0.70286981683866601</c:v>
                </c:pt>
                <c:pt idx="24">
                  <c:v>0.69226866463787584</c:v>
                </c:pt>
                <c:pt idx="25">
                  <c:v>0.68182740609774939</c:v>
                </c:pt>
                <c:pt idx="26">
                  <c:v>0.67154362959526337</c:v>
                </c:pt>
                <c:pt idx="27">
                  <c:v>0.66141495988110421</c:v>
                </c:pt>
                <c:pt idx="28">
                  <c:v>0.65143905753105558</c:v>
                </c:pt>
                <c:pt idx="29">
                  <c:v>0.64161361840566045</c:v>
                </c:pt>
                <c:pt idx="30">
                  <c:v>0.63193637311803219</c:v>
                </c:pt>
                <c:pt idx="31">
                  <c:v>0.62240508650969395</c:v>
                </c:pt>
                <c:pt idx="32">
                  <c:v>0.61301755713432216</c:v>
                </c:pt>
                <c:pt idx="33">
                  <c:v>0.6037716167492776</c:v>
                </c:pt>
                <c:pt idx="34">
                  <c:v>0.59466512981480535</c:v>
                </c:pt>
                <c:pt idx="35">
                  <c:v>0.58569599300078801</c:v>
                </c:pt>
                <c:pt idx="36">
                  <c:v>0.57686213470093795</c:v>
                </c:pt>
                <c:pt idx="37">
                  <c:v>0.5681615145543184</c:v>
                </c:pt>
                <c:pt idx="38">
                  <c:v>0.5595921229740789</c:v>
                </c:pt>
                <c:pt idx="39">
                  <c:v>0.55115198068330085</c:v>
                </c:pt>
                <c:pt idx="40">
                  <c:v>0.54283913825784258</c:v>
                </c:pt>
                <c:pt idx="41">
                  <c:v>0.53465167567607952</c:v>
                </c:pt>
                <c:pt idx="42">
                  <c:v>0.5265877018754368</c:v>
                </c:pt>
                <c:pt idx="43">
                  <c:v>0.51864535431560821</c:v>
                </c:pt>
                <c:pt idx="44">
                  <c:v>0.51082279854836499</c:v>
                </c:pt>
                <c:pt idx="45">
                  <c:v>0.5031182277938524</c:v>
                </c:pt>
                <c:pt idx="46">
                  <c:v>0.4955298625232768</c:v>
                </c:pt>
                <c:pt idx="47">
                  <c:v>0.48805595004788643</c:v>
                </c:pt>
                <c:pt idx="48">
                  <c:v>0.48069476411415263</c:v>
                </c:pt>
                <c:pt idx="49">
                  <c:v>0.47344460450505571</c:v>
                </c:pt>
                <c:pt idx="50">
                  <c:v>0.46630379664738519</c:v>
                </c:pt>
                <c:pt idx="51">
                  <c:v>0.45927069122496261</c:v>
                </c:pt>
                <c:pt idx="52">
                  <c:v>0.45234366379769797</c:v>
                </c:pt>
                <c:pt idx="53">
                  <c:v>0.44552111442639225</c:v>
                </c:pt>
                <c:pt idx="54">
                  <c:v>0.43880146730319824</c:v>
                </c:pt>
                <c:pt idx="55">
                  <c:v>0.43218317038765586</c:v>
                </c:pt>
                <c:pt idx="56">
                  <c:v>0.42566469504821586</c:v>
                </c:pt>
                <c:pt idx="57">
                  <c:v>0.4192445357091717</c:v>
                </c:pt>
                <c:pt idx="58">
                  <c:v>0.41292120950291533</c:v>
                </c:pt>
                <c:pt idx="59">
                  <c:v>0.40669325592743905</c:v>
                </c:pt>
                <c:pt idx="60">
                  <c:v>0.40055923650900205</c:v>
                </c:pt>
                <c:pt idx="61">
                  <c:v>0.39451773446988558</c:v>
                </c:pt>
                <c:pt idx="62">
                  <c:v>0.38856735440115919</c:v>
                </c:pt>
                <c:pt idx="63">
                  <c:v>0.38270672194038224</c:v>
                </c:pt>
                <c:pt idx="64">
                  <c:v>0.37693448345416664</c:v>
                </c:pt>
                <c:pt idx="65">
                  <c:v>0.37124930572552756</c:v>
                </c:pt>
                <c:pt idx="66">
                  <c:v>0.36564987564594947</c:v>
                </c:pt>
                <c:pt idx="67">
                  <c:v>0.36013489991209685</c:v>
                </c:pt>
                <c:pt idx="68">
                  <c:v>0.35470310472709926</c:v>
                </c:pt>
                <c:pt idx="69">
                  <c:v>0.34935323550634151</c:v>
                </c:pt>
                <c:pt idx="70">
                  <c:v>0.3440840565876922</c:v>
                </c:pt>
                <c:pt idx="71">
                  <c:v>0.33889435094610154</c:v>
                </c:pt>
                <c:pt idx="72">
                  <c:v>0.33378291991250486</c:v>
                </c:pt>
                <c:pt idx="73">
                  <c:v>0.32874858289696501</c:v>
                </c:pt>
              </c:numCache>
            </c:numRef>
          </c:val>
          <c:smooth val="0"/>
        </c:ser>
        <c:ser>
          <c:idx val="2"/>
          <c:order val="2"/>
          <c:tx>
            <c:v>2015</c:v>
          </c:tx>
          <c:marker>
            <c:symbol val="none"/>
          </c:marker>
          <c:val>
            <c:numRef>
              <c:f>'Postos Urb. ambiente - Exponenc'!$BC$6:$BC$79</c:f>
              <c:numCache>
                <c:formatCode>General</c:formatCode>
                <c:ptCount val="74"/>
                <c:pt idx="0">
                  <c:v>0.99436621212642873</c:v>
                </c:pt>
                <c:pt idx="1">
                  <c:v>0.96666980504299893</c:v>
                </c:pt>
                <c:pt idx="2">
                  <c:v>0.93974483503775652</c:v>
                </c:pt>
                <c:pt idx="3">
                  <c:v>0.91356981502164303</c:v>
                </c:pt>
                <c:pt idx="4">
                  <c:v>0.88812385639251379</c:v>
                </c:pt>
                <c:pt idx="5">
                  <c:v>0.86338665236528644</c:v>
                </c:pt>
                <c:pt idx="6">
                  <c:v>0.83933846176640059</c:v>
                </c:pt>
                <c:pt idx="7">
                  <c:v>0.81596009327965402</c:v>
                </c:pt>
                <c:pt idx="8">
                  <c:v>0.79323289013084741</c:v>
                </c:pt>
                <c:pt idx="9">
                  <c:v>0.77113871519901045</c:v>
                </c:pt>
                <c:pt idx="10">
                  <c:v>0.74965993654233054</c:v>
                </c:pt>
                <c:pt idx="11">
                  <c:v>0.72877941332723295</c:v>
                </c:pt>
                <c:pt idx="12">
                  <c:v>0.70848048214938253</c:v>
                </c:pt>
                <c:pt idx="13">
                  <c:v>0.6887469437356909</c:v>
                </c:pt>
                <c:pt idx="14">
                  <c:v>0.66956305001671734</c:v>
                </c:pt>
                <c:pt idx="15">
                  <c:v>0.6509134915591458</c:v>
                </c:pt>
                <c:pt idx="16">
                  <c:v>0.6327833853483098</c:v>
                </c:pt>
                <c:pt idx="17">
                  <c:v>0.61515826291101483</c:v>
                </c:pt>
                <c:pt idx="18">
                  <c:v>0.59802405876917819</c:v>
                </c:pt>
                <c:pt idx="19">
                  <c:v>0.58136709921507568</c:v>
                </c:pt>
                <c:pt idx="20">
                  <c:v>0.56517409139923269</c:v>
                </c:pt>
                <c:pt idx="21">
                  <c:v>0.54943211272225567</c:v>
                </c:pt>
                <c:pt idx="22">
                  <c:v>0.53412860052213507</c:v>
                </c:pt>
                <c:pt idx="23">
                  <c:v>0.51925134204879231</c:v>
                </c:pt>
                <c:pt idx="24">
                  <c:v>0.50478846471786776</c:v>
                </c:pt>
                <c:pt idx="25">
                  <c:v>0.49072842663597449</c:v>
                </c:pt>
                <c:pt idx="26">
                  <c:v>0.47706000738985388</c:v>
                </c:pt>
                <c:pt idx="27">
                  <c:v>0.46377229909208489</c:v>
                </c:pt>
                <c:pt idx="28">
                  <c:v>0.45085469767619996</c:v>
                </c:pt>
                <c:pt idx="29">
                  <c:v>0.43829689443426012</c:v>
                </c:pt>
                <c:pt idx="30">
                  <c:v>0.42608886779013788</c:v>
                </c:pt>
                <c:pt idx="31">
                  <c:v>0.41422087530194091</c:v>
                </c:pt>
                <c:pt idx="32">
                  <c:v>0.40268344588719479</c:v>
                </c:pt>
                <c:pt idx="33">
                  <c:v>0.39146737226458062</c:v>
                </c:pt>
                <c:pt idx="34">
                  <c:v>0.38056370360619518</c:v>
                </c:pt>
                <c:pt idx="35">
                  <c:v>0.36996373839447022</c:v>
                </c:pt>
                <c:pt idx="36">
                  <c:v>0.35965901747804996</c:v>
                </c:pt>
                <c:pt idx="37">
                  <c:v>0.34964131732108611</c:v>
                </c:pt>
                <c:pt idx="38">
                  <c:v>0.33990264344056198</c:v>
                </c:pt>
                <c:pt idx="39">
                  <c:v>0.33043522402640879</c:v>
                </c:pt>
                <c:pt idx="40">
                  <c:v>0.32123150373932391</c:v>
                </c:pt>
                <c:pt idx="41">
                  <c:v>0.31228413768133945</c:v>
                </c:pt>
                <c:pt idx="42">
                  <c:v>0.30358598553433092</c:v>
                </c:pt>
                <c:pt idx="43">
                  <c:v>0.29513010586178834</c:v>
                </c:pt>
                <c:pt idx="44">
                  <c:v>0.28690975056930129</c:v>
                </c:pt>
                <c:pt idx="45">
                  <c:v>0.27891835951933835</c:v>
                </c:pt>
                <c:pt idx="46">
                  <c:v>0.27114955529602286</c:v>
                </c:pt>
                <c:pt idx="47">
                  <c:v>0.26359713811572677</c:v>
                </c:pt>
                <c:pt idx="48">
                  <c:v>0.25625508087942156</c:v>
                </c:pt>
                <c:pt idx="49">
                  <c:v>0.24911752436283782</c:v>
                </c:pt>
                <c:pt idx="50">
                  <c:v>0.24217877254059458</c:v>
                </c:pt>
                <c:pt idx="51">
                  <c:v>0.23543328804056732</c:v>
                </c:pt>
                <c:pt idx="52">
                  <c:v>0.22887568772486705</c:v>
                </c:pt>
                <c:pt idx="53">
                  <c:v>0.2225007383939038</c:v>
                </c:pt>
                <c:pt idx="54">
                  <c:v>0.21630335261010591</c:v>
                </c:pt>
                <c:pt idx="55">
                  <c:v>0.2102785846379632</c:v>
                </c:pt>
                <c:pt idx="56">
                  <c:v>0.20442162649715306</c:v>
                </c:pt>
                <c:pt idx="57">
                  <c:v>0.19872780412559993</c:v>
                </c:pt>
                <c:pt idx="58">
                  <c:v>0.19319257364940701</c:v>
                </c:pt>
                <c:pt idx="59">
                  <c:v>0.18781151775668212</c:v>
                </c:pt>
                <c:pt idx="60">
                  <c:v>0.1825803421723648</c:v>
                </c:pt>
                <c:pt idx="61">
                  <c:v>0.17749487223124136</c:v>
                </c:pt>
                <c:pt idx="62">
                  <c:v>0.1725510495464127</c:v>
                </c:pt>
                <c:pt idx="63">
                  <c:v>0.16774492877055625</c:v>
                </c:pt>
                <c:pt idx="64">
                  <c:v>0.16307267444739793</c:v>
                </c:pt>
                <c:pt idx="65">
                  <c:v>0.15853055795088075</c:v>
                </c:pt>
                <c:pt idx="66">
                  <c:v>0.15411495450958784</c:v>
                </c:pt>
                <c:pt idx="67">
                  <c:v>0.14982234031404526</c:v>
                </c:pt>
                <c:pt idx="68">
                  <c:v>0.14564928970459604</c:v>
                </c:pt>
                <c:pt idx="69">
                  <c:v>0.14159247243760104</c:v>
                </c:pt>
                <c:pt idx="70">
                  <c:v>0.13764865102778576</c:v>
                </c:pt>
                <c:pt idx="71">
                  <c:v>0.13381467816461109</c:v>
                </c:pt>
                <c:pt idx="72">
                  <c:v>0.13008749420060689</c:v>
                </c:pt>
                <c:pt idx="73">
                  <c:v>0.12646412470966409</c:v>
                </c:pt>
              </c:numCache>
            </c:numRef>
          </c:val>
          <c:smooth val="0"/>
        </c:ser>
        <c:dLbls>
          <c:showLegendKey val="0"/>
          <c:showVal val="0"/>
          <c:showCatName val="0"/>
          <c:showSerName val="0"/>
          <c:showPercent val="0"/>
          <c:showBubbleSize val="0"/>
        </c:dLbls>
        <c:marker val="1"/>
        <c:smooth val="0"/>
        <c:axId val="122284672"/>
        <c:axId val="122958208"/>
      </c:lineChart>
      <c:catAx>
        <c:axId val="122284672"/>
        <c:scaling>
          <c:orientation val="minMax"/>
        </c:scaling>
        <c:delete val="0"/>
        <c:axPos val="b"/>
        <c:numFmt formatCode="General" sourceLinked="1"/>
        <c:majorTickMark val="out"/>
        <c:minorTickMark val="none"/>
        <c:tickLblPos val="nextTo"/>
        <c:crossAx val="122958208"/>
        <c:crosses val="autoZero"/>
        <c:auto val="1"/>
        <c:lblAlgn val="ctr"/>
        <c:lblOffset val="100"/>
        <c:noMultiLvlLbl val="0"/>
      </c:catAx>
      <c:valAx>
        <c:axId val="122958208"/>
        <c:scaling>
          <c:orientation val="minMax"/>
          <c:max val="1"/>
        </c:scaling>
        <c:delete val="0"/>
        <c:axPos val="l"/>
        <c:majorGridlines/>
        <c:numFmt formatCode="General" sourceLinked="1"/>
        <c:majorTickMark val="out"/>
        <c:minorTickMark val="none"/>
        <c:tickLblPos val="nextTo"/>
        <c:crossAx val="122284672"/>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163.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marker>
            <c:symbol val="none"/>
          </c:marker>
          <c:cat>
            <c:numRef>
              <c:f>'Postos Urb. ambiente - Weibull'!$X$7:$X$38</c:f>
              <c:numCache>
                <c:formatCode>General</c:formatCode>
                <c:ptCount val="32"/>
                <c:pt idx="0">
                  <c:v>0</c:v>
                </c:pt>
                <c:pt idx="1">
                  <c:v>10</c:v>
                </c:pt>
                <c:pt idx="2">
                  <c:v>20</c:v>
                </c:pt>
                <c:pt idx="3">
                  <c:v>30</c:v>
                </c:pt>
                <c:pt idx="4">
                  <c:v>40</c:v>
                </c:pt>
                <c:pt idx="5">
                  <c:v>50</c:v>
                </c:pt>
                <c:pt idx="6">
                  <c:v>60</c:v>
                </c:pt>
                <c:pt idx="7">
                  <c:v>70</c:v>
                </c:pt>
                <c:pt idx="8">
                  <c:v>80</c:v>
                </c:pt>
                <c:pt idx="9">
                  <c:v>90</c:v>
                </c:pt>
                <c:pt idx="10">
                  <c:v>100</c:v>
                </c:pt>
                <c:pt idx="11">
                  <c:v>110</c:v>
                </c:pt>
                <c:pt idx="12">
                  <c:v>120</c:v>
                </c:pt>
                <c:pt idx="13">
                  <c:v>130</c:v>
                </c:pt>
                <c:pt idx="14">
                  <c:v>140</c:v>
                </c:pt>
                <c:pt idx="15">
                  <c:v>150</c:v>
                </c:pt>
                <c:pt idx="16">
                  <c:v>160</c:v>
                </c:pt>
                <c:pt idx="17">
                  <c:v>170</c:v>
                </c:pt>
                <c:pt idx="18">
                  <c:v>180</c:v>
                </c:pt>
                <c:pt idx="19">
                  <c:v>190</c:v>
                </c:pt>
                <c:pt idx="20">
                  <c:v>200</c:v>
                </c:pt>
                <c:pt idx="21">
                  <c:v>210</c:v>
                </c:pt>
                <c:pt idx="22">
                  <c:v>220</c:v>
                </c:pt>
                <c:pt idx="23">
                  <c:v>230</c:v>
                </c:pt>
                <c:pt idx="24">
                  <c:v>240</c:v>
                </c:pt>
                <c:pt idx="25">
                  <c:v>250</c:v>
                </c:pt>
                <c:pt idx="26">
                  <c:v>260</c:v>
                </c:pt>
                <c:pt idx="27">
                  <c:v>270</c:v>
                </c:pt>
                <c:pt idx="28">
                  <c:v>280</c:v>
                </c:pt>
                <c:pt idx="29">
                  <c:v>290</c:v>
                </c:pt>
                <c:pt idx="30">
                  <c:v>300</c:v>
                </c:pt>
                <c:pt idx="31">
                  <c:v>310</c:v>
                </c:pt>
              </c:numCache>
            </c:numRef>
          </c:cat>
          <c:val>
            <c:numRef>
              <c:f>'Postos Urb. ambiente - Weibull'!$Y$7:$Y$38</c:f>
              <c:numCache>
                <c:formatCode>General</c:formatCode>
                <c:ptCount val="32"/>
                <c:pt idx="0">
                  <c:v>1</c:v>
                </c:pt>
                <c:pt idx="1">
                  <c:v>0.99601305881747693</c:v>
                </c:pt>
                <c:pt idx="2">
                  <c:v>0.98818252074950197</c:v>
                </c:pt>
                <c:pt idx="3">
                  <c:v>0.97775339047884002</c:v>
                </c:pt>
                <c:pt idx="4">
                  <c:v>0.96524307215267346</c:v>
                </c:pt>
                <c:pt idx="5">
                  <c:v>0.95098852147837443</c:v>
                </c:pt>
                <c:pt idx="6">
                  <c:v>0.93524396484457806</c:v>
                </c:pt>
                <c:pt idx="7">
                  <c:v>0.9182165751339415</c:v>
                </c:pt>
                <c:pt idx="8">
                  <c:v>0.90008311464512514</c:v>
                </c:pt>
                <c:pt idx="9">
                  <c:v>0.88099886359054658</c:v>
                </c:pt>
                <c:pt idx="10">
                  <c:v>0.86110287350305992</c:v>
                </c:pt>
                <c:pt idx="11">
                  <c:v>0.840521271312475</c:v>
                </c:pt>
                <c:pt idx="12">
                  <c:v>0.81936944716418425</c:v>
                </c:pt>
                <c:pt idx="13">
                  <c:v>0.79775356562073829</c:v>
                </c:pt>
                <c:pt idx="14">
                  <c:v>0.77577164860319092</c:v>
                </c:pt>
                <c:pt idx="15">
                  <c:v>0.75351437808484056</c:v>
                </c:pt>
                <c:pt idx="16">
                  <c:v>0.73106571061175774</c:v>
                </c:pt>
                <c:pt idx="17">
                  <c:v>0.70850336294763794</c:v>
                </c:pt>
                <c:pt idx="18">
                  <c:v>0.68589920811936156</c:v>
                </c:pt>
                <c:pt idx="19">
                  <c:v>0.66331960847210925</c:v>
                </c:pt>
                <c:pt idx="20">
                  <c:v>0.64082570408367157</c:v>
                </c:pt>
                <c:pt idx="21">
                  <c:v>0.61847366936204451</c:v>
                </c:pt>
                <c:pt idx="22">
                  <c:v>0.59631494687104392</c:v>
                </c:pt>
                <c:pt idx="23">
                  <c:v>0.57439646479436512</c:v>
                </c:pt>
                <c:pt idx="24">
                  <c:v>0.55276084258282532</c:v>
                </c:pt>
                <c:pt idx="25">
                  <c:v>0.5314465879906578</c:v>
                </c:pt>
                <c:pt idx="26">
                  <c:v>0.51048828773585986</c:v>
                </c:pt>
                <c:pt idx="27">
                  <c:v>0.48991679331013066</c:v>
                </c:pt>
                <c:pt idx="28">
                  <c:v>0.46975940294305712</c:v>
                </c:pt>
                <c:pt idx="29">
                  <c:v>0.45004004034220702</c:v>
                </c:pt>
                <c:pt idx="30">
                  <c:v>0.43077943054984658</c:v>
                </c:pt>
                <c:pt idx="31">
                  <c:v>0.41199527305238343</c:v>
                </c:pt>
              </c:numCache>
            </c:numRef>
          </c:val>
          <c:smooth val="0"/>
        </c:ser>
        <c:dLbls>
          <c:showLegendKey val="0"/>
          <c:showVal val="0"/>
          <c:showCatName val="0"/>
          <c:showSerName val="0"/>
          <c:showPercent val="0"/>
          <c:showBubbleSize val="0"/>
        </c:dLbls>
        <c:marker val="1"/>
        <c:smooth val="0"/>
        <c:axId val="125109376"/>
        <c:axId val="125110912"/>
      </c:lineChart>
      <c:catAx>
        <c:axId val="125109376"/>
        <c:scaling>
          <c:orientation val="minMax"/>
        </c:scaling>
        <c:delete val="0"/>
        <c:axPos val="b"/>
        <c:numFmt formatCode="General" sourceLinked="1"/>
        <c:majorTickMark val="out"/>
        <c:minorTickMark val="none"/>
        <c:tickLblPos val="nextTo"/>
        <c:crossAx val="125110912"/>
        <c:crosses val="autoZero"/>
        <c:auto val="1"/>
        <c:lblAlgn val="ctr"/>
        <c:lblOffset val="100"/>
        <c:noMultiLvlLbl val="0"/>
      </c:catAx>
      <c:valAx>
        <c:axId val="125110912"/>
        <c:scaling>
          <c:orientation val="minMax"/>
        </c:scaling>
        <c:delete val="0"/>
        <c:axPos val="l"/>
        <c:majorGridlines/>
        <c:numFmt formatCode="General" sourceLinked="1"/>
        <c:majorTickMark val="out"/>
        <c:minorTickMark val="none"/>
        <c:tickLblPos val="nextTo"/>
        <c:crossAx val="125109376"/>
        <c:crosses val="autoZero"/>
        <c:crossBetween val="between"/>
      </c:valAx>
    </c:plotArea>
    <c:plotVisOnly val="1"/>
    <c:dispBlanksAs val="gap"/>
    <c:showDLblsOverMax val="0"/>
  </c:chart>
  <c:printSettings>
    <c:headerFooter/>
    <c:pageMargins b="0.75" l="0.7" r="0.7" t="0.75" header="0.3" footer="0.3"/>
    <c:pageSetup/>
  </c:printSettings>
  <c:userShapes r:id="rId1"/>
</c:chartSpace>
</file>

<file path=xl/charts/chart164.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marker>
            <c:symbol val="none"/>
          </c:marker>
          <c:cat>
            <c:numRef>
              <c:f>'Postos Urb. ambiente - Weibull'!$CB$7:$CB$38</c:f>
              <c:numCache>
                <c:formatCode>General</c:formatCode>
                <c:ptCount val="32"/>
                <c:pt idx="0">
                  <c:v>0</c:v>
                </c:pt>
                <c:pt idx="1">
                  <c:v>10</c:v>
                </c:pt>
                <c:pt idx="2">
                  <c:v>20</c:v>
                </c:pt>
                <c:pt idx="3">
                  <c:v>30</c:v>
                </c:pt>
                <c:pt idx="4">
                  <c:v>40</c:v>
                </c:pt>
                <c:pt idx="5">
                  <c:v>50</c:v>
                </c:pt>
                <c:pt idx="6">
                  <c:v>60</c:v>
                </c:pt>
                <c:pt idx="7">
                  <c:v>70</c:v>
                </c:pt>
                <c:pt idx="8">
                  <c:v>80</c:v>
                </c:pt>
                <c:pt idx="9">
                  <c:v>90</c:v>
                </c:pt>
                <c:pt idx="10">
                  <c:v>100</c:v>
                </c:pt>
                <c:pt idx="11">
                  <c:v>110</c:v>
                </c:pt>
                <c:pt idx="12">
                  <c:v>120</c:v>
                </c:pt>
                <c:pt idx="13">
                  <c:v>130</c:v>
                </c:pt>
                <c:pt idx="14">
                  <c:v>140</c:v>
                </c:pt>
                <c:pt idx="15">
                  <c:v>150</c:v>
                </c:pt>
                <c:pt idx="16">
                  <c:v>160</c:v>
                </c:pt>
                <c:pt idx="17">
                  <c:v>170</c:v>
                </c:pt>
                <c:pt idx="18">
                  <c:v>180</c:v>
                </c:pt>
                <c:pt idx="19">
                  <c:v>190</c:v>
                </c:pt>
                <c:pt idx="20">
                  <c:v>200</c:v>
                </c:pt>
                <c:pt idx="21">
                  <c:v>210</c:v>
                </c:pt>
                <c:pt idx="22">
                  <c:v>220</c:v>
                </c:pt>
                <c:pt idx="23">
                  <c:v>230</c:v>
                </c:pt>
                <c:pt idx="24">
                  <c:v>240</c:v>
                </c:pt>
                <c:pt idx="25">
                  <c:v>250</c:v>
                </c:pt>
                <c:pt idx="26">
                  <c:v>260</c:v>
                </c:pt>
                <c:pt idx="27">
                  <c:v>270</c:v>
                </c:pt>
                <c:pt idx="28">
                  <c:v>280</c:v>
                </c:pt>
                <c:pt idx="29">
                  <c:v>290</c:v>
                </c:pt>
                <c:pt idx="30">
                  <c:v>300</c:v>
                </c:pt>
                <c:pt idx="31">
                  <c:v>310</c:v>
                </c:pt>
              </c:numCache>
            </c:numRef>
          </c:cat>
          <c:val>
            <c:numRef>
              <c:f>'Postos Urb. ambiente - Weibull'!$CC$7:$CC$38</c:f>
              <c:numCache>
                <c:formatCode>General</c:formatCode>
                <c:ptCount val="32"/>
                <c:pt idx="0">
                  <c:v>1</c:v>
                </c:pt>
                <c:pt idx="1">
                  <c:v>0.95070720970285039</c:v>
                </c:pt>
                <c:pt idx="2">
                  <c:v>0.91225938816755336</c:v>
                </c:pt>
                <c:pt idx="3">
                  <c:v>0.87790821062699076</c:v>
                </c:pt>
                <c:pt idx="4">
                  <c:v>0.84634676831388334</c:v>
                </c:pt>
                <c:pt idx="5">
                  <c:v>0.81695022835079789</c:v>
                </c:pt>
                <c:pt idx="6">
                  <c:v>0.7893432743545209</c:v>
                </c:pt>
                <c:pt idx="7">
                  <c:v>0.76327159234292552</c:v>
                </c:pt>
                <c:pt idx="8">
                  <c:v>0.73854935132020438</c:v>
                </c:pt>
                <c:pt idx="9">
                  <c:v>0.71503355040059624</c:v>
                </c:pt>
                <c:pt idx="10">
                  <c:v>0.69260993126407433</c:v>
                </c:pt>
                <c:pt idx="11">
                  <c:v>0.67118456575717755</c:v>
                </c:pt>
                <c:pt idx="12">
                  <c:v>0.65067850451366904</c:v>
                </c:pt>
                <c:pt idx="13">
                  <c:v>0.63102419978676394</c:v>
                </c:pt>
                <c:pt idx="14">
                  <c:v>0.6121630167376485</c:v>
                </c:pt>
                <c:pt idx="15">
                  <c:v>0.59404344396554487</c:v>
                </c:pt>
                <c:pt idx="16">
                  <c:v>0.57661977072721582</c:v>
                </c:pt>
                <c:pt idx="17">
                  <c:v>0.55985108582774257</c:v>
                </c:pt>
                <c:pt idx="18">
                  <c:v>0.5437005044171781</c:v>
                </c:pt>
                <c:pt idx="19">
                  <c:v>0.52813456015415439</c:v>
                </c:pt>
                <c:pt idx="20">
                  <c:v>0.51312271988495017</c:v>
                </c:pt>
                <c:pt idx="21">
                  <c:v>0.49863699077410112</c:v>
                </c:pt>
                <c:pt idx="22">
                  <c:v>0.48465159834881649</c:v>
                </c:pt>
                <c:pt idx="23">
                  <c:v>0.47114271973770933</c:v>
                </c:pt>
                <c:pt idx="24">
                  <c:v>0.45808826043774892</c:v>
                </c:pt>
                <c:pt idx="25">
                  <c:v>0.4454676658202249</c:v>
                </c:pt>
                <c:pt idx="26">
                  <c:v>0.43326176066295613</c:v>
                </c:pt>
                <c:pt idx="27">
                  <c:v>0.42145261151772645</c:v>
                </c:pt>
                <c:pt idx="28">
                  <c:v>0.41002340785278535</c:v>
                </c:pt>
                <c:pt idx="29">
                  <c:v>0.39895835876141195</c:v>
                </c:pt>
                <c:pt idx="30">
                  <c:v>0.38824260267572769</c:v>
                </c:pt>
                <c:pt idx="31">
                  <c:v>0.37786212802393215</c:v>
                </c:pt>
              </c:numCache>
            </c:numRef>
          </c:val>
          <c:smooth val="0"/>
        </c:ser>
        <c:dLbls>
          <c:showLegendKey val="0"/>
          <c:showVal val="0"/>
          <c:showCatName val="0"/>
          <c:showSerName val="0"/>
          <c:showPercent val="0"/>
          <c:showBubbleSize val="0"/>
        </c:dLbls>
        <c:marker val="1"/>
        <c:smooth val="0"/>
        <c:axId val="125135104"/>
        <c:axId val="125157376"/>
      </c:lineChart>
      <c:catAx>
        <c:axId val="125135104"/>
        <c:scaling>
          <c:orientation val="minMax"/>
        </c:scaling>
        <c:delete val="0"/>
        <c:axPos val="b"/>
        <c:numFmt formatCode="General" sourceLinked="1"/>
        <c:majorTickMark val="out"/>
        <c:minorTickMark val="none"/>
        <c:tickLblPos val="nextTo"/>
        <c:crossAx val="125157376"/>
        <c:crosses val="autoZero"/>
        <c:auto val="1"/>
        <c:lblAlgn val="ctr"/>
        <c:lblOffset val="100"/>
        <c:noMultiLvlLbl val="0"/>
      </c:catAx>
      <c:valAx>
        <c:axId val="125157376"/>
        <c:scaling>
          <c:orientation val="minMax"/>
        </c:scaling>
        <c:delete val="0"/>
        <c:axPos val="l"/>
        <c:majorGridlines/>
        <c:numFmt formatCode="General" sourceLinked="1"/>
        <c:majorTickMark val="out"/>
        <c:minorTickMark val="none"/>
        <c:tickLblPos val="nextTo"/>
        <c:crossAx val="125135104"/>
        <c:crosses val="autoZero"/>
        <c:crossBetween val="between"/>
      </c:valAx>
    </c:plotArea>
    <c:plotVisOnly val="1"/>
    <c:dispBlanksAs val="gap"/>
    <c:showDLblsOverMax val="0"/>
  </c:chart>
  <c:printSettings>
    <c:headerFooter/>
    <c:pageMargins b="0.75" l="0.7" r="0.7" t="0.75" header="0.3" footer="0.3"/>
    <c:pageSetup/>
  </c:printSettings>
  <c:userShapes r:id="rId1"/>
</c:chartSpace>
</file>

<file path=xl/charts/chart165.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marker>
            <c:symbol val="none"/>
          </c:marker>
          <c:cat>
            <c:numRef>
              <c:f>'Postos Urb. ambiente - Weibull'!$DD$7:$DD$38</c:f>
              <c:numCache>
                <c:formatCode>General</c:formatCode>
                <c:ptCount val="32"/>
                <c:pt idx="0">
                  <c:v>0</c:v>
                </c:pt>
                <c:pt idx="1">
                  <c:v>10</c:v>
                </c:pt>
                <c:pt idx="2">
                  <c:v>20</c:v>
                </c:pt>
                <c:pt idx="3">
                  <c:v>30</c:v>
                </c:pt>
                <c:pt idx="4">
                  <c:v>40</c:v>
                </c:pt>
                <c:pt idx="5">
                  <c:v>50</c:v>
                </c:pt>
                <c:pt idx="6">
                  <c:v>60</c:v>
                </c:pt>
                <c:pt idx="7">
                  <c:v>70</c:v>
                </c:pt>
                <c:pt idx="8">
                  <c:v>80</c:v>
                </c:pt>
                <c:pt idx="9">
                  <c:v>90</c:v>
                </c:pt>
                <c:pt idx="10">
                  <c:v>100</c:v>
                </c:pt>
                <c:pt idx="11">
                  <c:v>110</c:v>
                </c:pt>
                <c:pt idx="12">
                  <c:v>120</c:v>
                </c:pt>
                <c:pt idx="13">
                  <c:v>130</c:v>
                </c:pt>
                <c:pt idx="14">
                  <c:v>140</c:v>
                </c:pt>
                <c:pt idx="15">
                  <c:v>150</c:v>
                </c:pt>
                <c:pt idx="16">
                  <c:v>160</c:v>
                </c:pt>
                <c:pt idx="17">
                  <c:v>170</c:v>
                </c:pt>
                <c:pt idx="18">
                  <c:v>180</c:v>
                </c:pt>
                <c:pt idx="19">
                  <c:v>190</c:v>
                </c:pt>
                <c:pt idx="20">
                  <c:v>200</c:v>
                </c:pt>
                <c:pt idx="21">
                  <c:v>210</c:v>
                </c:pt>
                <c:pt idx="22">
                  <c:v>220</c:v>
                </c:pt>
                <c:pt idx="23">
                  <c:v>230</c:v>
                </c:pt>
                <c:pt idx="24">
                  <c:v>240</c:v>
                </c:pt>
                <c:pt idx="25">
                  <c:v>250</c:v>
                </c:pt>
                <c:pt idx="26">
                  <c:v>260</c:v>
                </c:pt>
                <c:pt idx="27">
                  <c:v>270</c:v>
                </c:pt>
                <c:pt idx="28">
                  <c:v>280</c:v>
                </c:pt>
                <c:pt idx="29">
                  <c:v>290</c:v>
                </c:pt>
                <c:pt idx="30">
                  <c:v>300</c:v>
                </c:pt>
                <c:pt idx="31">
                  <c:v>310</c:v>
                </c:pt>
              </c:numCache>
            </c:numRef>
          </c:cat>
          <c:val>
            <c:numRef>
              <c:f>'Postos Urb. ambiente - Weibull'!$DE$7:$DE$38</c:f>
              <c:numCache>
                <c:formatCode>General</c:formatCode>
                <c:ptCount val="32"/>
                <c:pt idx="0">
                  <c:v>1</c:v>
                </c:pt>
                <c:pt idx="1">
                  <c:v>0.99609870713769066</c:v>
                </c:pt>
                <c:pt idx="2">
                  <c:v>0.98771996012690133</c:v>
                </c:pt>
                <c:pt idx="3">
                  <c:v>0.97606639512629412</c:v>
                </c:pt>
                <c:pt idx="4">
                  <c:v>0.96169552523598933</c:v>
                </c:pt>
                <c:pt idx="5">
                  <c:v>0.94499737775354486</c:v>
                </c:pt>
                <c:pt idx="6">
                  <c:v>0.92628444932184661</c:v>
                </c:pt>
                <c:pt idx="7">
                  <c:v>0.90582474926766465</c:v>
                </c:pt>
                <c:pt idx="8">
                  <c:v>0.88385703302510699</c:v>
                </c:pt>
                <c:pt idx="9">
                  <c:v>0.86059875073091952</c:v>
                </c:pt>
                <c:pt idx="10">
                  <c:v>0.83625052404073552</c:v>
                </c:pt>
                <c:pt idx="11">
                  <c:v>0.81099879831380972</c:v>
                </c:pt>
                <c:pt idx="12">
                  <c:v>0.7850174718183206</c:v>
                </c:pt>
                <c:pt idx="13">
                  <c:v>0.75846892734806304</c:v>
                </c:pt>
                <c:pt idx="14">
                  <c:v>0.73150470710847748</c:v>
                </c:pt>
                <c:pt idx="15">
                  <c:v>0.70426597411343594</c:v>
                </c:pt>
                <c:pt idx="16">
                  <c:v>0.67688384844902505</c:v>
                </c:pt>
                <c:pt idx="17">
                  <c:v>0.64947967430854181</c:v>
                </c:pt>
                <c:pt idx="18">
                  <c:v>0.62216525368897724</c:v>
                </c:pt>
                <c:pt idx="19">
                  <c:v>0.59504306985049593</c:v>
                </c:pt>
                <c:pt idx="20">
                  <c:v>0.5682065152226482</c:v>
                </c:pt>
                <c:pt idx="21">
                  <c:v>0.54174013276471955</c:v>
                </c:pt>
                <c:pt idx="22">
                  <c:v>0.51571987588758716</c:v>
                </c:pt>
                <c:pt idx="23">
                  <c:v>0.49021338933000247</c:v>
                </c:pt>
                <c:pt idx="24">
                  <c:v>0.46528031148089277</c:v>
                </c:pt>
                <c:pt idx="25">
                  <c:v>0.44097259730955363</c:v>
                </c:pt>
                <c:pt idx="26">
                  <c:v>0.41733486014677701</c:v>
                </c:pt>
                <c:pt idx="27">
                  <c:v>0.39440472994227049</c:v>
                </c:pt>
                <c:pt idx="28">
                  <c:v>0.37221322523038097</c:v>
                </c:pt>
                <c:pt idx="29">
                  <c:v>0.35078513581208681</c:v>
                </c:pt>
                <c:pt idx="30">
                  <c:v>0.33013941306602557</c:v>
                </c:pt>
                <c:pt idx="31">
                  <c:v>0.31028956480462283</c:v>
                </c:pt>
              </c:numCache>
            </c:numRef>
          </c:val>
          <c:smooth val="0"/>
        </c:ser>
        <c:dLbls>
          <c:showLegendKey val="0"/>
          <c:showVal val="0"/>
          <c:showCatName val="0"/>
          <c:showSerName val="0"/>
          <c:showPercent val="0"/>
          <c:showBubbleSize val="0"/>
        </c:dLbls>
        <c:marker val="1"/>
        <c:smooth val="0"/>
        <c:axId val="122760576"/>
        <c:axId val="122762368"/>
      </c:lineChart>
      <c:catAx>
        <c:axId val="122760576"/>
        <c:scaling>
          <c:orientation val="minMax"/>
        </c:scaling>
        <c:delete val="0"/>
        <c:axPos val="b"/>
        <c:numFmt formatCode="General" sourceLinked="1"/>
        <c:majorTickMark val="out"/>
        <c:minorTickMark val="none"/>
        <c:tickLblPos val="nextTo"/>
        <c:crossAx val="122762368"/>
        <c:crosses val="autoZero"/>
        <c:auto val="1"/>
        <c:lblAlgn val="ctr"/>
        <c:lblOffset val="100"/>
        <c:noMultiLvlLbl val="0"/>
      </c:catAx>
      <c:valAx>
        <c:axId val="122762368"/>
        <c:scaling>
          <c:orientation val="minMax"/>
        </c:scaling>
        <c:delete val="0"/>
        <c:axPos val="l"/>
        <c:majorGridlines/>
        <c:numFmt formatCode="General" sourceLinked="1"/>
        <c:majorTickMark val="out"/>
        <c:minorTickMark val="none"/>
        <c:tickLblPos val="nextTo"/>
        <c:crossAx val="122760576"/>
        <c:crosses val="autoZero"/>
        <c:crossBetween val="between"/>
      </c:valAx>
    </c:plotArea>
    <c:plotVisOnly val="1"/>
    <c:dispBlanksAs val="gap"/>
    <c:showDLblsOverMax val="0"/>
  </c:chart>
  <c:printSettings>
    <c:headerFooter/>
    <c:pageMargins b="0.75" l="0.7" r="0.7" t="0.75" header="0.3" footer="0.3"/>
    <c:pageSetup/>
  </c:printSettings>
  <c:userShapes r:id="rId1"/>
</c:chartSpace>
</file>

<file path=xl/charts/chart166.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marker>
            <c:symbol val="none"/>
          </c:marker>
          <c:cat>
            <c:numRef>
              <c:f>'Postos Urb. ambiente - Weibull'!$EF$7:$EF$38</c:f>
              <c:numCache>
                <c:formatCode>General</c:formatCode>
                <c:ptCount val="32"/>
                <c:pt idx="0">
                  <c:v>0</c:v>
                </c:pt>
                <c:pt idx="1">
                  <c:v>10</c:v>
                </c:pt>
                <c:pt idx="2">
                  <c:v>20</c:v>
                </c:pt>
                <c:pt idx="3">
                  <c:v>30</c:v>
                </c:pt>
                <c:pt idx="4">
                  <c:v>40</c:v>
                </c:pt>
                <c:pt idx="5">
                  <c:v>50</c:v>
                </c:pt>
                <c:pt idx="6">
                  <c:v>60</c:v>
                </c:pt>
                <c:pt idx="7">
                  <c:v>70</c:v>
                </c:pt>
                <c:pt idx="8">
                  <c:v>80</c:v>
                </c:pt>
                <c:pt idx="9">
                  <c:v>90</c:v>
                </c:pt>
                <c:pt idx="10">
                  <c:v>100</c:v>
                </c:pt>
                <c:pt idx="11">
                  <c:v>110</c:v>
                </c:pt>
                <c:pt idx="12">
                  <c:v>120</c:v>
                </c:pt>
                <c:pt idx="13">
                  <c:v>130</c:v>
                </c:pt>
                <c:pt idx="14">
                  <c:v>140</c:v>
                </c:pt>
                <c:pt idx="15">
                  <c:v>150</c:v>
                </c:pt>
                <c:pt idx="16">
                  <c:v>160</c:v>
                </c:pt>
                <c:pt idx="17">
                  <c:v>170</c:v>
                </c:pt>
                <c:pt idx="18">
                  <c:v>180</c:v>
                </c:pt>
                <c:pt idx="19">
                  <c:v>190</c:v>
                </c:pt>
                <c:pt idx="20">
                  <c:v>200</c:v>
                </c:pt>
                <c:pt idx="21">
                  <c:v>210</c:v>
                </c:pt>
                <c:pt idx="22">
                  <c:v>220</c:v>
                </c:pt>
                <c:pt idx="23">
                  <c:v>230</c:v>
                </c:pt>
                <c:pt idx="24">
                  <c:v>240</c:v>
                </c:pt>
                <c:pt idx="25">
                  <c:v>250</c:v>
                </c:pt>
                <c:pt idx="26">
                  <c:v>260</c:v>
                </c:pt>
                <c:pt idx="27">
                  <c:v>270</c:v>
                </c:pt>
                <c:pt idx="28">
                  <c:v>280</c:v>
                </c:pt>
                <c:pt idx="29">
                  <c:v>290</c:v>
                </c:pt>
                <c:pt idx="30">
                  <c:v>300</c:v>
                </c:pt>
                <c:pt idx="31">
                  <c:v>310</c:v>
                </c:pt>
              </c:numCache>
            </c:numRef>
          </c:cat>
          <c:val>
            <c:numRef>
              <c:f>'Postos Urb. ambiente - Weibull'!$EG$7:$EG$38</c:f>
              <c:numCache>
                <c:formatCode>General</c:formatCode>
                <c:ptCount val="32"/>
                <c:pt idx="0">
                  <c:v>1</c:v>
                </c:pt>
                <c:pt idx="1">
                  <c:v>0.83894120413426709</c:v>
                </c:pt>
                <c:pt idx="2">
                  <c:v>0.78970175684559818</c:v>
                </c:pt>
                <c:pt idx="3">
                  <c:v>0.75523454248512778</c:v>
                </c:pt>
                <c:pt idx="4">
                  <c:v>0.72802669229532069</c:v>
                </c:pt>
                <c:pt idx="5">
                  <c:v>0.70528847919630533</c:v>
                </c:pt>
                <c:pt idx="6">
                  <c:v>0.6856314682681065</c:v>
                </c:pt>
                <c:pt idx="7">
                  <c:v>0.66825047689022277</c:v>
                </c:pt>
                <c:pt idx="8">
                  <c:v>0.65263147842900504</c:v>
                </c:pt>
                <c:pt idx="9">
                  <c:v>0.63842375458999212</c:v>
                </c:pt>
                <c:pt idx="10">
                  <c:v>0.62537600586090425</c:v>
                </c:pt>
                <c:pt idx="11">
                  <c:v>0.61330126585401612</c:v>
                </c:pt>
                <c:pt idx="12">
                  <c:v>0.60205621664349418</c:v>
                </c:pt>
                <c:pt idx="13">
                  <c:v>0.59152829807352703</c:v>
                </c:pt>
                <c:pt idx="14">
                  <c:v>0.58162730699106979</c:v>
                </c:pt>
                <c:pt idx="15">
                  <c:v>0.57227971718238946</c:v>
                </c:pt>
                <c:pt idx="16">
                  <c:v>0.5634247184189598</c:v>
                </c:pt>
                <c:pt idx="17">
                  <c:v>0.55501138073035694</c:v>
                </c:pt>
                <c:pt idx="18">
                  <c:v>0.54699657771575982</c:v>
                </c:pt>
                <c:pt idx="19">
                  <c:v>0.53934343539671559</c:v>
                </c:pt>
                <c:pt idx="20">
                  <c:v>0.53202015332529806</c:v>
                </c:pt>
                <c:pt idx="21">
                  <c:v>0.52499909471901551</c:v>
                </c:pt>
                <c:pt idx="22">
                  <c:v>0.51825607451933897</c:v>
                </c:pt>
                <c:pt idx="23">
                  <c:v>0.51176979540549283</c:v>
                </c:pt>
                <c:pt idx="24">
                  <c:v>0.50552139601024826</c:v>
                </c:pt>
                <c:pt idx="25">
                  <c:v>0.49949408533720735</c:v>
                </c:pt>
                <c:pt idx="26">
                  <c:v>0.49367284419137464</c:v>
                </c:pt>
                <c:pt idx="27">
                  <c:v>0.48804417927133997</c:v>
                </c:pt>
                <c:pt idx="28">
                  <c:v>0.4825959190565533</c:v>
                </c:pt>
                <c:pt idx="29">
                  <c:v>0.47731704316894452</c:v>
                </c:pt>
                <c:pt idx="30">
                  <c:v>0.47219753877111564</c:v>
                </c:pt>
                <c:pt idx="31">
                  <c:v>0.467228278972249</c:v>
                </c:pt>
              </c:numCache>
            </c:numRef>
          </c:val>
          <c:smooth val="0"/>
        </c:ser>
        <c:dLbls>
          <c:showLegendKey val="0"/>
          <c:showVal val="0"/>
          <c:showCatName val="0"/>
          <c:showSerName val="0"/>
          <c:showPercent val="0"/>
          <c:showBubbleSize val="0"/>
        </c:dLbls>
        <c:marker val="1"/>
        <c:smooth val="0"/>
        <c:axId val="122786560"/>
        <c:axId val="122788096"/>
      </c:lineChart>
      <c:catAx>
        <c:axId val="122786560"/>
        <c:scaling>
          <c:orientation val="minMax"/>
        </c:scaling>
        <c:delete val="0"/>
        <c:axPos val="b"/>
        <c:numFmt formatCode="General" sourceLinked="1"/>
        <c:majorTickMark val="out"/>
        <c:minorTickMark val="none"/>
        <c:tickLblPos val="nextTo"/>
        <c:crossAx val="122788096"/>
        <c:crosses val="autoZero"/>
        <c:auto val="1"/>
        <c:lblAlgn val="ctr"/>
        <c:lblOffset val="100"/>
        <c:noMultiLvlLbl val="0"/>
      </c:catAx>
      <c:valAx>
        <c:axId val="122788096"/>
        <c:scaling>
          <c:orientation val="minMax"/>
        </c:scaling>
        <c:delete val="0"/>
        <c:axPos val="l"/>
        <c:majorGridlines/>
        <c:numFmt formatCode="General" sourceLinked="1"/>
        <c:majorTickMark val="out"/>
        <c:minorTickMark val="none"/>
        <c:tickLblPos val="nextTo"/>
        <c:crossAx val="122786560"/>
        <c:crosses val="autoZero"/>
        <c:crossBetween val="between"/>
      </c:valAx>
    </c:plotArea>
    <c:plotVisOnly val="1"/>
    <c:dispBlanksAs val="gap"/>
    <c:showDLblsOverMax val="0"/>
  </c:chart>
  <c:printSettings>
    <c:headerFooter/>
    <c:pageMargins b="0.75" l="0.7" r="0.7" t="0.75" header="0.3" footer="0.3"/>
    <c:pageSetup/>
  </c:printSettings>
  <c:userShapes r:id="rId1"/>
</c:chartSpace>
</file>

<file path=xl/charts/chart167.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marker>
            <c:symbol val="none"/>
          </c:marker>
          <c:cat>
            <c:numRef>
              <c:f>'Postos Urb. ambiente - Weibull'!$AZ$7:$AZ$38</c:f>
              <c:numCache>
                <c:formatCode>General</c:formatCode>
                <c:ptCount val="32"/>
                <c:pt idx="0">
                  <c:v>0</c:v>
                </c:pt>
                <c:pt idx="1">
                  <c:v>10</c:v>
                </c:pt>
                <c:pt idx="2">
                  <c:v>20</c:v>
                </c:pt>
                <c:pt idx="3">
                  <c:v>30</c:v>
                </c:pt>
                <c:pt idx="4">
                  <c:v>40</c:v>
                </c:pt>
                <c:pt idx="5">
                  <c:v>50</c:v>
                </c:pt>
                <c:pt idx="6">
                  <c:v>60</c:v>
                </c:pt>
                <c:pt idx="7">
                  <c:v>70</c:v>
                </c:pt>
                <c:pt idx="8">
                  <c:v>80</c:v>
                </c:pt>
                <c:pt idx="9">
                  <c:v>90</c:v>
                </c:pt>
                <c:pt idx="10">
                  <c:v>100</c:v>
                </c:pt>
                <c:pt idx="11">
                  <c:v>110</c:v>
                </c:pt>
                <c:pt idx="12">
                  <c:v>120</c:v>
                </c:pt>
                <c:pt idx="13">
                  <c:v>130</c:v>
                </c:pt>
                <c:pt idx="14">
                  <c:v>140</c:v>
                </c:pt>
                <c:pt idx="15">
                  <c:v>150</c:v>
                </c:pt>
                <c:pt idx="16">
                  <c:v>160</c:v>
                </c:pt>
                <c:pt idx="17">
                  <c:v>170</c:v>
                </c:pt>
                <c:pt idx="18">
                  <c:v>180</c:v>
                </c:pt>
                <c:pt idx="19">
                  <c:v>190</c:v>
                </c:pt>
                <c:pt idx="20">
                  <c:v>200</c:v>
                </c:pt>
                <c:pt idx="21">
                  <c:v>210</c:v>
                </c:pt>
                <c:pt idx="22">
                  <c:v>220</c:v>
                </c:pt>
                <c:pt idx="23">
                  <c:v>230</c:v>
                </c:pt>
                <c:pt idx="24">
                  <c:v>240</c:v>
                </c:pt>
                <c:pt idx="25">
                  <c:v>250</c:v>
                </c:pt>
                <c:pt idx="26">
                  <c:v>260</c:v>
                </c:pt>
                <c:pt idx="27">
                  <c:v>270</c:v>
                </c:pt>
                <c:pt idx="28">
                  <c:v>280</c:v>
                </c:pt>
                <c:pt idx="29">
                  <c:v>290</c:v>
                </c:pt>
                <c:pt idx="30">
                  <c:v>300</c:v>
                </c:pt>
                <c:pt idx="31">
                  <c:v>310</c:v>
                </c:pt>
              </c:numCache>
            </c:numRef>
          </c:cat>
          <c:val>
            <c:numRef>
              <c:f>'Postos Urb. ambiente - Weibull'!$BA$7:$BA$38</c:f>
              <c:numCache>
                <c:formatCode>General</c:formatCode>
                <c:ptCount val="32"/>
                <c:pt idx="0">
                  <c:v>1</c:v>
                </c:pt>
                <c:pt idx="1">
                  <c:v>0.99999508931544134</c:v>
                </c:pt>
                <c:pt idx="2">
                  <c:v>0.99994324342683583</c:v>
                </c:pt>
                <c:pt idx="3">
                  <c:v>0.99976246642810229</c:v>
                </c:pt>
                <c:pt idx="4">
                  <c:v>0.99934419996866608</c:v>
                </c:pt>
                <c:pt idx="5">
                  <c:v>0.99855863700282799</c:v>
                </c:pt>
                <c:pt idx="6">
                  <c:v>0.99725800995385461</c:v>
                </c:pt>
                <c:pt idx="7">
                  <c:v>0.99527923369197935</c:v>
                </c:pt>
                <c:pt idx="8">
                  <c:v>0.9924464025766534</c:v>
                </c:pt>
                <c:pt idx="9">
                  <c:v>0.98857340287643458</c:v>
                </c:pt>
                <c:pt idx="10">
                  <c:v>0.98346680403800391</c:v>
                </c:pt>
                <c:pt idx="11">
                  <c:v>0.97692913873591702</c:v>
                </c:pt>
                <c:pt idx="12">
                  <c:v>0.96876264350163033</c:v>
                </c:pt>
                <c:pt idx="13">
                  <c:v>0.9587734979533965</c:v>
                </c:pt>
                <c:pt idx="14">
                  <c:v>0.94677656637215257</c:v>
                </c:pt>
                <c:pt idx="15">
                  <c:v>0.93260060842166337</c:v>
                </c:pt>
                <c:pt idx="16">
                  <c:v>0.91609388550434334</c:v>
                </c:pt>
                <c:pt idx="17">
                  <c:v>0.89713004593687384</c:v>
                </c:pt>
                <c:pt idx="18">
                  <c:v>0.8756141270771689</c:v>
                </c:pt>
                <c:pt idx="19">
                  <c:v>0.85148846782456777</c:v>
                </c:pt>
                <c:pt idx="20">
                  <c:v>0.82473828340978006</c:v>
                </c:pt>
                <c:pt idx="21">
                  <c:v>0.79539661961953423</c:v>
                </c:pt>
                <c:pt idx="22">
                  <c:v>0.76354837957830324</c:v>
                </c:pt>
                <c:pt idx="23">
                  <c:v>0.72933310715951472</c:v>
                </c:pt>
                <c:pt idx="24">
                  <c:v>0.69294622107514137</c:v>
                </c:pt>
                <c:pt idx="25">
                  <c:v>0.65463842611093659</c:v>
                </c:pt>
                <c:pt idx="26">
                  <c:v>0.61471308508089684</c:v>
                </c:pt>
                <c:pt idx="27">
                  <c:v>0.5735214174001223</c:v>
                </c:pt>
                <c:pt idx="28">
                  <c:v>0.53145549604371578</c:v>
                </c:pt>
                <c:pt idx="29">
                  <c:v>0.48893913982645609</c:v>
                </c:pt>
                <c:pt idx="30">
                  <c:v>0.44641693545090444</c:v>
                </c:pt>
                <c:pt idx="31">
                  <c:v>0.40434176412733241</c:v>
                </c:pt>
              </c:numCache>
            </c:numRef>
          </c:val>
          <c:smooth val="0"/>
        </c:ser>
        <c:dLbls>
          <c:showLegendKey val="0"/>
          <c:showVal val="0"/>
          <c:showCatName val="0"/>
          <c:showSerName val="0"/>
          <c:showPercent val="0"/>
          <c:showBubbleSize val="0"/>
        </c:dLbls>
        <c:marker val="1"/>
        <c:smooth val="0"/>
        <c:axId val="122820480"/>
        <c:axId val="122822016"/>
      </c:lineChart>
      <c:catAx>
        <c:axId val="122820480"/>
        <c:scaling>
          <c:orientation val="minMax"/>
        </c:scaling>
        <c:delete val="0"/>
        <c:axPos val="b"/>
        <c:numFmt formatCode="General" sourceLinked="1"/>
        <c:majorTickMark val="out"/>
        <c:minorTickMark val="none"/>
        <c:tickLblPos val="nextTo"/>
        <c:crossAx val="122822016"/>
        <c:crosses val="autoZero"/>
        <c:auto val="1"/>
        <c:lblAlgn val="ctr"/>
        <c:lblOffset val="100"/>
        <c:noMultiLvlLbl val="0"/>
      </c:catAx>
      <c:valAx>
        <c:axId val="122822016"/>
        <c:scaling>
          <c:orientation val="minMax"/>
        </c:scaling>
        <c:delete val="0"/>
        <c:axPos val="l"/>
        <c:majorGridlines/>
        <c:numFmt formatCode="General" sourceLinked="1"/>
        <c:majorTickMark val="out"/>
        <c:minorTickMark val="none"/>
        <c:tickLblPos val="nextTo"/>
        <c:crossAx val="122820480"/>
        <c:crosses val="autoZero"/>
        <c:crossBetween val="between"/>
      </c:valAx>
    </c:plotArea>
    <c:plotVisOnly val="1"/>
    <c:dispBlanksAs val="gap"/>
    <c:showDLblsOverMax val="0"/>
  </c:chart>
  <c:printSettings>
    <c:headerFooter/>
    <c:pageMargins b="0.75" l="0.7" r="0.7" t="0.75" header="0.3" footer="0.3"/>
    <c:pageSetup/>
  </c:printSettings>
  <c:userShapes r:id="rId1"/>
</c:chartSpace>
</file>

<file path=xl/charts/chart168.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a:pPr>
            <a:r>
              <a:rPr lang="pt-PT"/>
              <a:t>MTBF - Combustivel fossil 31</a:t>
            </a:r>
          </a:p>
        </c:rich>
      </c:tx>
      <c:layout/>
      <c:overlay val="0"/>
    </c:title>
    <c:autoTitleDeleted val="0"/>
    <c:view3D>
      <c:rotX val="10"/>
      <c:hPercent val="100"/>
      <c:rotY val="70"/>
      <c:depthPercent val="100"/>
      <c:rAngAx val="0"/>
      <c:perspective val="0"/>
    </c:view3D>
    <c:floor>
      <c:thickness val="0"/>
    </c:floor>
    <c:sideWall>
      <c:thickness val="0"/>
    </c:sideWall>
    <c:backWall>
      <c:thickness val="0"/>
    </c:backWall>
    <c:plotArea>
      <c:layout>
        <c:manualLayout>
          <c:layoutTarget val="inner"/>
          <c:xMode val="edge"/>
          <c:yMode val="edge"/>
          <c:x val="7.0883357626873478E-2"/>
          <c:y val="0.23228055962803945"/>
          <c:w val="0.70223214622210628"/>
          <c:h val="0.60242701087055972"/>
        </c:manualLayout>
      </c:layout>
      <c:bar3DChart>
        <c:barDir val="col"/>
        <c:grouping val="standard"/>
        <c:varyColors val="0"/>
        <c:ser>
          <c:idx val="5"/>
          <c:order val="0"/>
          <c:tx>
            <c:v>2010</c:v>
          </c:tx>
          <c:invertIfNegative val="0"/>
          <c:cat>
            <c:numLit>
              <c:formatCode>General</c:formatCode>
              <c:ptCount val="1"/>
              <c:pt idx="0">
                <c:v>2015</c:v>
              </c:pt>
            </c:numLit>
          </c:cat>
          <c:val>
            <c:numRef>
              <c:f>'2010 - MTBF, MTTF, Exponencial'!$J$6</c:f>
              <c:numCache>
                <c:formatCode>General</c:formatCode>
                <c:ptCount val="1"/>
                <c:pt idx="0">
                  <c:v>359</c:v>
                </c:pt>
              </c:numCache>
            </c:numRef>
          </c:val>
        </c:ser>
        <c:ser>
          <c:idx val="4"/>
          <c:order val="1"/>
          <c:tx>
            <c:v>2011</c:v>
          </c:tx>
          <c:invertIfNegative val="0"/>
          <c:dLbls>
            <c:txPr>
              <a:bodyPr rot="0" vert="horz" anchor="t" anchorCtr="0"/>
              <a:lstStyle/>
              <a:p>
                <a:pPr>
                  <a:defRPr/>
                </a:pPr>
                <a:endParaRPr lang="pt-PT"/>
              </a:p>
            </c:txPr>
            <c:showLegendKey val="0"/>
            <c:showVal val="1"/>
            <c:showCatName val="0"/>
            <c:showSerName val="0"/>
            <c:showPercent val="0"/>
            <c:showBubbleSize val="0"/>
            <c:showLeaderLines val="0"/>
          </c:dLbls>
          <c:cat>
            <c:numLit>
              <c:formatCode>General</c:formatCode>
              <c:ptCount val="1"/>
              <c:pt idx="0">
                <c:v>2015</c:v>
              </c:pt>
            </c:numLit>
          </c:cat>
          <c:val>
            <c:numRef>
              <c:f>'2011 - MTBF, MTTF, Exponencial'!$J$8</c:f>
              <c:numCache>
                <c:formatCode>General</c:formatCode>
                <c:ptCount val="1"/>
                <c:pt idx="0">
                  <c:v>359</c:v>
                </c:pt>
              </c:numCache>
            </c:numRef>
          </c:val>
        </c:ser>
        <c:ser>
          <c:idx val="3"/>
          <c:order val="2"/>
          <c:tx>
            <c:v>2012</c:v>
          </c:tx>
          <c:invertIfNegative val="0"/>
          <c:cat>
            <c:numLit>
              <c:formatCode>General</c:formatCode>
              <c:ptCount val="1"/>
              <c:pt idx="0">
                <c:v>2015</c:v>
              </c:pt>
            </c:numLit>
          </c:cat>
          <c:val>
            <c:numRef>
              <c:f>'2012 - MTBF, MTTF, Exponencial'!$J$7</c:f>
              <c:numCache>
                <c:formatCode>General</c:formatCode>
                <c:ptCount val="1"/>
                <c:pt idx="0">
                  <c:v>179</c:v>
                </c:pt>
              </c:numCache>
            </c:numRef>
          </c:val>
        </c:ser>
        <c:ser>
          <c:idx val="2"/>
          <c:order val="3"/>
          <c:tx>
            <c:v>2013</c:v>
          </c:tx>
          <c:invertIfNegative val="0"/>
          <c:cat>
            <c:numLit>
              <c:formatCode>General</c:formatCode>
              <c:ptCount val="1"/>
              <c:pt idx="0">
                <c:v>2015</c:v>
              </c:pt>
            </c:numLit>
          </c:cat>
          <c:val>
            <c:numLit>
              <c:formatCode>General</c:formatCode>
              <c:ptCount val="1"/>
              <c:pt idx="0">
                <c:v>0</c:v>
              </c:pt>
            </c:numLit>
          </c:val>
        </c:ser>
        <c:ser>
          <c:idx val="1"/>
          <c:order val="4"/>
          <c:tx>
            <c:v>2014</c:v>
          </c:tx>
          <c:invertIfNegative val="0"/>
          <c:cat>
            <c:numLit>
              <c:formatCode>General</c:formatCode>
              <c:ptCount val="1"/>
              <c:pt idx="0">
                <c:v>2015</c:v>
              </c:pt>
            </c:numLit>
          </c:cat>
          <c:val>
            <c:numRef>
              <c:f>'2014 - MTBF, MTTF, Exponencial'!$J$7</c:f>
              <c:numCache>
                <c:formatCode>General</c:formatCode>
                <c:ptCount val="1"/>
                <c:pt idx="0">
                  <c:v>178</c:v>
                </c:pt>
              </c:numCache>
            </c:numRef>
          </c:val>
        </c:ser>
        <c:ser>
          <c:idx val="0"/>
          <c:order val="5"/>
          <c:tx>
            <c:v>2015</c:v>
          </c:tx>
          <c:invertIfNegative val="0"/>
          <c:cat>
            <c:numLit>
              <c:formatCode>General</c:formatCode>
              <c:ptCount val="1"/>
              <c:pt idx="0">
                <c:v>2015</c:v>
              </c:pt>
            </c:numLit>
          </c:cat>
          <c:val>
            <c:numRef>
              <c:f>'2015 - MTBF, MTTF, Exponencial'!$J$8</c:f>
              <c:numCache>
                <c:formatCode>General</c:formatCode>
                <c:ptCount val="1"/>
                <c:pt idx="0">
                  <c:v>119</c:v>
                </c:pt>
              </c:numCache>
            </c:numRef>
          </c:val>
        </c:ser>
        <c:dLbls>
          <c:showLegendKey val="0"/>
          <c:showVal val="1"/>
          <c:showCatName val="0"/>
          <c:showSerName val="0"/>
          <c:showPercent val="0"/>
          <c:showBubbleSize val="0"/>
        </c:dLbls>
        <c:gapWidth val="300"/>
        <c:shape val="box"/>
        <c:axId val="121312000"/>
        <c:axId val="121313536"/>
        <c:axId val="122891776"/>
      </c:bar3DChart>
      <c:catAx>
        <c:axId val="121312000"/>
        <c:scaling>
          <c:orientation val="minMax"/>
        </c:scaling>
        <c:delete val="1"/>
        <c:axPos val="b"/>
        <c:numFmt formatCode="General" sourceLinked="1"/>
        <c:majorTickMark val="none"/>
        <c:minorTickMark val="none"/>
        <c:tickLblPos val="nextTo"/>
        <c:crossAx val="121313536"/>
        <c:crosses val="autoZero"/>
        <c:auto val="1"/>
        <c:lblAlgn val="ctr"/>
        <c:lblOffset val="100"/>
        <c:noMultiLvlLbl val="0"/>
      </c:catAx>
      <c:valAx>
        <c:axId val="121313536"/>
        <c:scaling>
          <c:orientation val="minMax"/>
        </c:scaling>
        <c:delete val="0"/>
        <c:axPos val="l"/>
        <c:majorGridlines/>
        <c:minorGridlines/>
        <c:numFmt formatCode="General" sourceLinked="1"/>
        <c:majorTickMark val="out"/>
        <c:minorTickMark val="none"/>
        <c:tickLblPos val="nextTo"/>
        <c:crossAx val="121312000"/>
        <c:crosses val="autoZero"/>
        <c:crossBetween val="between"/>
      </c:valAx>
      <c:serAx>
        <c:axId val="122891776"/>
        <c:scaling>
          <c:orientation val="minMax"/>
        </c:scaling>
        <c:delete val="1"/>
        <c:axPos val="b"/>
        <c:majorTickMark val="none"/>
        <c:minorTickMark val="none"/>
        <c:tickLblPos val="nextTo"/>
        <c:crossAx val="121313536"/>
        <c:crosses val="autoZero"/>
      </c:serAx>
    </c:plotArea>
    <c:legend>
      <c:legendPos val="r"/>
      <c:layout/>
      <c:overlay val="0"/>
    </c:legend>
    <c:plotVisOnly val="1"/>
    <c:dispBlanksAs val="gap"/>
    <c:showDLblsOverMax val="0"/>
  </c:chart>
  <c:printSettings>
    <c:headerFooter/>
    <c:pageMargins b="0.75" l="0.7" r="0.7" t="0.75" header="0.3" footer="0.3"/>
    <c:pageSetup/>
  </c:printSettings>
</c:chartSpace>
</file>

<file path=xl/charts/chart169.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a:pPr>
            <a:r>
              <a:rPr lang="pt-PT"/>
              <a:t>MTBF - </a:t>
            </a:r>
            <a:r>
              <a:rPr lang="pt-PT" sz="1800" b="1" i="0" u="none" strike="noStrike" baseline="0">
                <a:effectLst/>
              </a:rPr>
              <a:t>Combustivel fossil</a:t>
            </a:r>
            <a:r>
              <a:rPr lang="pt-PT"/>
              <a:t> 41</a:t>
            </a:r>
          </a:p>
        </c:rich>
      </c:tx>
      <c:layout/>
      <c:overlay val="0"/>
    </c:title>
    <c:autoTitleDeleted val="0"/>
    <c:view3D>
      <c:rotX val="10"/>
      <c:hPercent val="100"/>
      <c:rotY val="70"/>
      <c:depthPercent val="100"/>
      <c:rAngAx val="0"/>
      <c:perspective val="0"/>
    </c:view3D>
    <c:floor>
      <c:thickness val="0"/>
    </c:floor>
    <c:sideWall>
      <c:thickness val="0"/>
    </c:sideWall>
    <c:backWall>
      <c:thickness val="0"/>
    </c:backWall>
    <c:plotArea>
      <c:layout>
        <c:manualLayout>
          <c:layoutTarget val="inner"/>
          <c:xMode val="edge"/>
          <c:yMode val="edge"/>
          <c:x val="7.0883357626873478E-2"/>
          <c:y val="0.23228055962803945"/>
          <c:w val="0.70223214622210628"/>
          <c:h val="0.60242701087055972"/>
        </c:manualLayout>
      </c:layout>
      <c:bar3DChart>
        <c:barDir val="col"/>
        <c:grouping val="standard"/>
        <c:varyColors val="0"/>
        <c:ser>
          <c:idx val="5"/>
          <c:order val="0"/>
          <c:tx>
            <c:v>2010</c:v>
          </c:tx>
          <c:invertIfNegative val="0"/>
          <c:cat>
            <c:numLit>
              <c:formatCode>General</c:formatCode>
              <c:ptCount val="1"/>
              <c:pt idx="0">
                <c:v>2015</c:v>
              </c:pt>
            </c:numLit>
          </c:cat>
          <c:val>
            <c:numRef>
              <c:f>'2010 - MTBF, MTTF, Exponencial'!$J$8</c:f>
              <c:numCache>
                <c:formatCode>General</c:formatCode>
                <c:ptCount val="1"/>
                <c:pt idx="0">
                  <c:v>179</c:v>
                </c:pt>
              </c:numCache>
            </c:numRef>
          </c:val>
        </c:ser>
        <c:ser>
          <c:idx val="4"/>
          <c:order val="1"/>
          <c:tx>
            <c:v>2011</c:v>
          </c:tx>
          <c:invertIfNegative val="0"/>
          <c:dLbls>
            <c:txPr>
              <a:bodyPr rot="0" vert="horz" anchor="t" anchorCtr="0"/>
              <a:lstStyle/>
              <a:p>
                <a:pPr>
                  <a:defRPr/>
                </a:pPr>
                <a:endParaRPr lang="pt-PT"/>
              </a:p>
            </c:txPr>
            <c:showLegendKey val="0"/>
            <c:showVal val="1"/>
            <c:showCatName val="0"/>
            <c:showSerName val="0"/>
            <c:showPercent val="0"/>
            <c:showBubbleSize val="0"/>
            <c:showLeaderLines val="0"/>
          </c:dLbls>
          <c:cat>
            <c:numLit>
              <c:formatCode>General</c:formatCode>
              <c:ptCount val="1"/>
              <c:pt idx="0">
                <c:v>2015</c:v>
              </c:pt>
            </c:numLit>
          </c:cat>
          <c:val>
            <c:numLit>
              <c:formatCode>General</c:formatCode>
              <c:ptCount val="1"/>
              <c:pt idx="0">
                <c:v>0</c:v>
              </c:pt>
            </c:numLit>
          </c:val>
        </c:ser>
        <c:ser>
          <c:idx val="3"/>
          <c:order val="2"/>
          <c:tx>
            <c:v>2012</c:v>
          </c:tx>
          <c:invertIfNegative val="0"/>
          <c:cat>
            <c:numLit>
              <c:formatCode>General</c:formatCode>
              <c:ptCount val="1"/>
              <c:pt idx="0">
                <c:v>2015</c:v>
              </c:pt>
            </c:numLit>
          </c:cat>
          <c:val>
            <c:numRef>
              <c:f>'2012 - MTBF, MTTF, Exponencial'!$J$8</c:f>
              <c:numCache>
                <c:formatCode>General</c:formatCode>
                <c:ptCount val="1"/>
                <c:pt idx="0">
                  <c:v>179</c:v>
                </c:pt>
              </c:numCache>
            </c:numRef>
          </c:val>
        </c:ser>
        <c:ser>
          <c:idx val="2"/>
          <c:order val="3"/>
          <c:tx>
            <c:v>2013</c:v>
          </c:tx>
          <c:invertIfNegative val="0"/>
          <c:cat>
            <c:numLit>
              <c:formatCode>General</c:formatCode>
              <c:ptCount val="1"/>
              <c:pt idx="0">
                <c:v>2015</c:v>
              </c:pt>
            </c:numLit>
          </c:cat>
          <c:val>
            <c:numRef>
              <c:f>'2013 - MTBF, MTTF, Exponencial'!$J$7</c:f>
              <c:numCache>
                <c:formatCode>General</c:formatCode>
                <c:ptCount val="1"/>
                <c:pt idx="0">
                  <c:v>176</c:v>
                </c:pt>
              </c:numCache>
            </c:numRef>
          </c:val>
        </c:ser>
        <c:ser>
          <c:idx val="1"/>
          <c:order val="4"/>
          <c:tx>
            <c:v>2014</c:v>
          </c:tx>
          <c:invertIfNegative val="0"/>
          <c:cat>
            <c:numLit>
              <c:formatCode>General</c:formatCode>
              <c:ptCount val="1"/>
              <c:pt idx="0">
                <c:v>2015</c:v>
              </c:pt>
            </c:numLit>
          </c:cat>
          <c:val>
            <c:numLit>
              <c:formatCode>General</c:formatCode>
              <c:ptCount val="1"/>
              <c:pt idx="0">
                <c:v>0</c:v>
              </c:pt>
            </c:numLit>
          </c:val>
        </c:ser>
        <c:ser>
          <c:idx val="0"/>
          <c:order val="5"/>
          <c:tx>
            <c:v>2015</c:v>
          </c:tx>
          <c:invertIfNegative val="0"/>
          <c:cat>
            <c:numLit>
              <c:formatCode>General</c:formatCode>
              <c:ptCount val="1"/>
              <c:pt idx="0">
                <c:v>2015</c:v>
              </c:pt>
            </c:numLit>
          </c:cat>
          <c:val>
            <c:numLit>
              <c:formatCode>General</c:formatCode>
              <c:ptCount val="1"/>
              <c:pt idx="0">
                <c:v>0</c:v>
              </c:pt>
            </c:numLit>
          </c:val>
        </c:ser>
        <c:dLbls>
          <c:showLegendKey val="0"/>
          <c:showVal val="1"/>
          <c:showCatName val="0"/>
          <c:showSerName val="0"/>
          <c:showPercent val="0"/>
          <c:showBubbleSize val="0"/>
        </c:dLbls>
        <c:gapWidth val="300"/>
        <c:shape val="box"/>
        <c:axId val="121363072"/>
        <c:axId val="121966976"/>
        <c:axId val="121310272"/>
      </c:bar3DChart>
      <c:catAx>
        <c:axId val="121363072"/>
        <c:scaling>
          <c:orientation val="minMax"/>
        </c:scaling>
        <c:delete val="1"/>
        <c:axPos val="b"/>
        <c:numFmt formatCode="General" sourceLinked="1"/>
        <c:majorTickMark val="none"/>
        <c:minorTickMark val="none"/>
        <c:tickLblPos val="nextTo"/>
        <c:crossAx val="121966976"/>
        <c:crosses val="autoZero"/>
        <c:auto val="1"/>
        <c:lblAlgn val="ctr"/>
        <c:lblOffset val="100"/>
        <c:noMultiLvlLbl val="0"/>
      </c:catAx>
      <c:valAx>
        <c:axId val="121966976"/>
        <c:scaling>
          <c:orientation val="minMax"/>
        </c:scaling>
        <c:delete val="0"/>
        <c:axPos val="l"/>
        <c:majorGridlines/>
        <c:minorGridlines/>
        <c:numFmt formatCode="General" sourceLinked="1"/>
        <c:majorTickMark val="out"/>
        <c:minorTickMark val="none"/>
        <c:tickLblPos val="nextTo"/>
        <c:crossAx val="121363072"/>
        <c:crosses val="autoZero"/>
        <c:crossBetween val="between"/>
      </c:valAx>
      <c:serAx>
        <c:axId val="121310272"/>
        <c:scaling>
          <c:orientation val="minMax"/>
        </c:scaling>
        <c:delete val="1"/>
        <c:axPos val="b"/>
        <c:majorTickMark val="none"/>
        <c:minorTickMark val="none"/>
        <c:tickLblPos val="nextTo"/>
        <c:crossAx val="121966976"/>
        <c:crosses val="autoZero"/>
      </c:serAx>
    </c:plotArea>
    <c:legend>
      <c:legendPos val="r"/>
      <c:layout/>
      <c:overlay val="0"/>
    </c:legend>
    <c:plotVisOnly val="1"/>
    <c:dispBlanksAs val="gap"/>
    <c:showDLblsOverMax val="0"/>
  </c:chart>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Total de avarias por dia - 2014</c:v>
          </c:tx>
          <c:invertIfNegative val="0"/>
          <c:dLbls>
            <c:numFmt formatCode="#,##0;\-#,##0" sourceLinked="0"/>
            <c:txPr>
              <a:bodyPr/>
              <a:lstStyle/>
              <a:p>
                <a:pPr>
                  <a:defRPr b="1"/>
                </a:pPr>
                <a:endParaRPr lang="pt-PT"/>
              </a:p>
            </c:txPr>
            <c:showLegendKey val="0"/>
            <c:showVal val="1"/>
            <c:showCatName val="0"/>
            <c:showSerName val="0"/>
            <c:showPercent val="0"/>
            <c:showBubbleSize val="0"/>
            <c:showLeaderLines val="0"/>
          </c:dLbls>
          <c:cat>
            <c:numRef>
              <c:f>'2014 - Gráficos'!$B$6:$B$23</c:f>
              <c:numCache>
                <c:formatCode>General</c:formatCode>
                <c:ptCount val="18"/>
                <c:pt idx="0">
                  <c:v>20</c:v>
                </c:pt>
                <c:pt idx="1">
                  <c:v>37</c:v>
                </c:pt>
                <c:pt idx="2">
                  <c:v>42</c:v>
                </c:pt>
                <c:pt idx="3">
                  <c:v>43</c:v>
                </c:pt>
                <c:pt idx="4">
                  <c:v>74</c:v>
                </c:pt>
                <c:pt idx="5">
                  <c:v>92</c:v>
                </c:pt>
                <c:pt idx="6">
                  <c:v>97</c:v>
                </c:pt>
                <c:pt idx="7">
                  <c:v>109</c:v>
                </c:pt>
                <c:pt idx="8">
                  <c:v>126</c:v>
                </c:pt>
                <c:pt idx="9">
                  <c:v>139</c:v>
                </c:pt>
                <c:pt idx="10">
                  <c:v>142</c:v>
                </c:pt>
                <c:pt idx="11">
                  <c:v>152</c:v>
                </c:pt>
                <c:pt idx="12">
                  <c:v>180</c:v>
                </c:pt>
                <c:pt idx="13">
                  <c:v>187</c:v>
                </c:pt>
                <c:pt idx="14">
                  <c:v>211</c:v>
                </c:pt>
                <c:pt idx="15">
                  <c:v>256</c:v>
                </c:pt>
                <c:pt idx="16">
                  <c:v>290</c:v>
                </c:pt>
                <c:pt idx="17">
                  <c:v>334</c:v>
                </c:pt>
              </c:numCache>
            </c:numRef>
          </c:cat>
          <c:val>
            <c:numRef>
              <c:f>'2014 - Gráficos'!$C$6:$C$23</c:f>
              <c:numCache>
                <c:formatCode>0</c:formatCode>
                <c:ptCount val="18"/>
                <c:pt idx="0">
                  <c:v>1</c:v>
                </c:pt>
                <c:pt idx="1">
                  <c:v>1</c:v>
                </c:pt>
                <c:pt idx="2">
                  <c:v>1</c:v>
                </c:pt>
                <c:pt idx="3">
                  <c:v>1</c:v>
                </c:pt>
                <c:pt idx="4">
                  <c:v>1</c:v>
                </c:pt>
                <c:pt idx="5">
                  <c:v>1</c:v>
                </c:pt>
                <c:pt idx="6">
                  <c:v>1</c:v>
                </c:pt>
                <c:pt idx="7">
                  <c:v>1</c:v>
                </c:pt>
                <c:pt idx="8">
                  <c:v>1</c:v>
                </c:pt>
                <c:pt idx="9">
                  <c:v>2</c:v>
                </c:pt>
                <c:pt idx="10">
                  <c:v>1</c:v>
                </c:pt>
                <c:pt idx="11">
                  <c:v>1</c:v>
                </c:pt>
                <c:pt idx="12">
                  <c:v>1</c:v>
                </c:pt>
                <c:pt idx="13">
                  <c:v>1</c:v>
                </c:pt>
                <c:pt idx="14">
                  <c:v>1</c:v>
                </c:pt>
                <c:pt idx="15">
                  <c:v>1</c:v>
                </c:pt>
                <c:pt idx="16">
                  <c:v>1</c:v>
                </c:pt>
                <c:pt idx="17">
                  <c:v>1</c:v>
                </c:pt>
              </c:numCache>
            </c:numRef>
          </c:val>
        </c:ser>
        <c:dLbls>
          <c:showLegendKey val="0"/>
          <c:showVal val="0"/>
          <c:showCatName val="0"/>
          <c:showSerName val="0"/>
          <c:showPercent val="0"/>
          <c:showBubbleSize val="0"/>
        </c:dLbls>
        <c:gapWidth val="300"/>
        <c:axId val="107321216"/>
        <c:axId val="107323392"/>
      </c:barChart>
      <c:catAx>
        <c:axId val="107321216"/>
        <c:scaling>
          <c:orientation val="minMax"/>
        </c:scaling>
        <c:delete val="0"/>
        <c:axPos val="b"/>
        <c:title>
          <c:tx>
            <c:rich>
              <a:bodyPr/>
              <a:lstStyle/>
              <a:p>
                <a:pPr>
                  <a:defRPr/>
                </a:pPr>
                <a:r>
                  <a:rPr lang="pt-PT"/>
                  <a:t>Numero</a:t>
                </a:r>
                <a:r>
                  <a:rPr lang="pt-PT" baseline="0"/>
                  <a:t> de dias/ano</a:t>
                </a:r>
                <a:endParaRPr lang="pt-PT"/>
              </a:p>
            </c:rich>
          </c:tx>
          <c:layout/>
          <c:overlay val="0"/>
        </c:title>
        <c:numFmt formatCode="General" sourceLinked="1"/>
        <c:majorTickMark val="none"/>
        <c:minorTickMark val="none"/>
        <c:tickLblPos val="nextTo"/>
        <c:txPr>
          <a:bodyPr rot="-5400000" vert="horz"/>
          <a:lstStyle/>
          <a:p>
            <a:pPr>
              <a:defRPr/>
            </a:pPr>
            <a:endParaRPr lang="pt-PT"/>
          </a:p>
        </c:txPr>
        <c:crossAx val="107323392"/>
        <c:crosses val="autoZero"/>
        <c:auto val="1"/>
        <c:lblAlgn val="ctr"/>
        <c:lblOffset val="100"/>
        <c:noMultiLvlLbl val="0"/>
      </c:catAx>
      <c:valAx>
        <c:axId val="107323392"/>
        <c:scaling>
          <c:orientation val="minMax"/>
        </c:scaling>
        <c:delete val="0"/>
        <c:axPos val="l"/>
        <c:majorGridlines/>
        <c:minorGridlines/>
        <c:title>
          <c:tx>
            <c:rich>
              <a:bodyPr/>
              <a:lstStyle/>
              <a:p>
                <a:pPr>
                  <a:defRPr/>
                </a:pPr>
                <a:r>
                  <a:rPr lang="pt-PT"/>
                  <a:t>Total</a:t>
                </a:r>
                <a:r>
                  <a:rPr lang="pt-PT" baseline="0"/>
                  <a:t> de avarias</a:t>
                </a:r>
                <a:endParaRPr lang="pt-PT"/>
              </a:p>
            </c:rich>
          </c:tx>
          <c:layout/>
          <c:overlay val="0"/>
        </c:title>
        <c:numFmt formatCode="0" sourceLinked="1"/>
        <c:majorTickMark val="out"/>
        <c:minorTickMark val="none"/>
        <c:tickLblPos val="nextTo"/>
        <c:crossAx val="107321216"/>
        <c:crosses val="autoZero"/>
        <c:crossBetween val="between"/>
      </c:valAx>
    </c:plotArea>
    <c:legend>
      <c:legendPos val="r"/>
      <c:layout/>
      <c:overlay val="0"/>
    </c:legend>
    <c:plotVisOnly val="1"/>
    <c:dispBlanksAs val="gap"/>
    <c:showDLblsOverMax val="0"/>
  </c:chart>
  <c:printSettings>
    <c:headerFooter/>
    <c:pageMargins b="0.75" l="0.7" r="0.7" t="0.75" header="0.3" footer="0.3"/>
    <c:pageSetup/>
  </c:printSettings>
</c:chartSpace>
</file>

<file path=xl/charts/chart170.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a:pPr>
            <a:r>
              <a:rPr lang="pt-PT"/>
              <a:t>MTBF - Incinerador1</a:t>
            </a:r>
          </a:p>
        </c:rich>
      </c:tx>
      <c:layout/>
      <c:overlay val="0"/>
    </c:title>
    <c:autoTitleDeleted val="0"/>
    <c:view3D>
      <c:rotX val="10"/>
      <c:hPercent val="100"/>
      <c:rotY val="70"/>
      <c:depthPercent val="100"/>
      <c:rAngAx val="0"/>
      <c:perspective val="0"/>
    </c:view3D>
    <c:floor>
      <c:thickness val="0"/>
    </c:floor>
    <c:sideWall>
      <c:thickness val="0"/>
    </c:sideWall>
    <c:backWall>
      <c:thickness val="0"/>
    </c:backWall>
    <c:plotArea>
      <c:layout>
        <c:manualLayout>
          <c:layoutTarget val="inner"/>
          <c:xMode val="edge"/>
          <c:yMode val="edge"/>
          <c:x val="7.0883357626873478E-2"/>
          <c:y val="0.23228055962803945"/>
          <c:w val="0.70223214622210628"/>
          <c:h val="0.60242701087055972"/>
        </c:manualLayout>
      </c:layout>
      <c:bar3DChart>
        <c:barDir val="col"/>
        <c:grouping val="standard"/>
        <c:varyColors val="0"/>
        <c:ser>
          <c:idx val="5"/>
          <c:order val="0"/>
          <c:tx>
            <c:v>2010</c:v>
          </c:tx>
          <c:invertIfNegative val="0"/>
          <c:cat>
            <c:numLit>
              <c:formatCode>General</c:formatCode>
              <c:ptCount val="1"/>
              <c:pt idx="0">
                <c:v>2015</c:v>
              </c:pt>
            </c:numLit>
          </c:cat>
          <c:val>
            <c:numRef>
              <c:f>'2010 - MTBF, MTTF, Exponencial'!$J$11</c:f>
              <c:numCache>
                <c:formatCode>General</c:formatCode>
                <c:ptCount val="1"/>
                <c:pt idx="0">
                  <c:v>119</c:v>
                </c:pt>
              </c:numCache>
            </c:numRef>
          </c:val>
        </c:ser>
        <c:ser>
          <c:idx val="4"/>
          <c:order val="1"/>
          <c:tx>
            <c:v>2011</c:v>
          </c:tx>
          <c:invertIfNegative val="0"/>
          <c:dLbls>
            <c:txPr>
              <a:bodyPr rot="0" vert="horz" anchor="t" anchorCtr="0"/>
              <a:lstStyle/>
              <a:p>
                <a:pPr>
                  <a:defRPr/>
                </a:pPr>
                <a:endParaRPr lang="pt-PT"/>
              </a:p>
            </c:txPr>
            <c:showLegendKey val="0"/>
            <c:showVal val="1"/>
            <c:showCatName val="0"/>
            <c:showSerName val="0"/>
            <c:showPercent val="0"/>
            <c:showBubbleSize val="0"/>
            <c:showLeaderLines val="0"/>
          </c:dLbls>
          <c:cat>
            <c:numLit>
              <c:formatCode>General</c:formatCode>
              <c:ptCount val="1"/>
              <c:pt idx="0">
                <c:v>2015</c:v>
              </c:pt>
            </c:numLit>
          </c:cat>
          <c:val>
            <c:numRef>
              <c:f>'2011 - MTBF, MTTF, Exponencial'!$J$10</c:f>
              <c:numCache>
                <c:formatCode>General</c:formatCode>
                <c:ptCount val="1"/>
                <c:pt idx="0">
                  <c:v>174</c:v>
                </c:pt>
              </c:numCache>
            </c:numRef>
          </c:val>
        </c:ser>
        <c:ser>
          <c:idx val="3"/>
          <c:order val="2"/>
          <c:tx>
            <c:v>2012</c:v>
          </c:tx>
          <c:invertIfNegative val="0"/>
          <c:cat>
            <c:numLit>
              <c:formatCode>General</c:formatCode>
              <c:ptCount val="1"/>
              <c:pt idx="0">
                <c:v>2015</c:v>
              </c:pt>
            </c:numLit>
          </c:cat>
          <c:val>
            <c:numLit>
              <c:formatCode>General</c:formatCode>
              <c:ptCount val="1"/>
              <c:pt idx="0">
                <c:v>0</c:v>
              </c:pt>
            </c:numLit>
          </c:val>
        </c:ser>
        <c:ser>
          <c:idx val="2"/>
          <c:order val="3"/>
          <c:tx>
            <c:v>2013</c:v>
          </c:tx>
          <c:invertIfNegative val="0"/>
          <c:cat>
            <c:numLit>
              <c:formatCode>General</c:formatCode>
              <c:ptCount val="1"/>
              <c:pt idx="0">
                <c:v>2015</c:v>
              </c:pt>
            </c:numLit>
          </c:cat>
          <c:val>
            <c:numLit>
              <c:formatCode>General</c:formatCode>
              <c:ptCount val="1"/>
              <c:pt idx="0">
                <c:v>0</c:v>
              </c:pt>
            </c:numLit>
          </c:val>
        </c:ser>
        <c:ser>
          <c:idx val="1"/>
          <c:order val="4"/>
          <c:tx>
            <c:v>2014</c:v>
          </c:tx>
          <c:invertIfNegative val="0"/>
          <c:cat>
            <c:numLit>
              <c:formatCode>General</c:formatCode>
              <c:ptCount val="1"/>
              <c:pt idx="0">
                <c:v>2015</c:v>
              </c:pt>
            </c:numLit>
          </c:cat>
          <c:val>
            <c:numLit>
              <c:formatCode>General</c:formatCode>
              <c:ptCount val="1"/>
              <c:pt idx="0">
                <c:v>0</c:v>
              </c:pt>
            </c:numLit>
          </c:val>
        </c:ser>
        <c:ser>
          <c:idx val="0"/>
          <c:order val="5"/>
          <c:tx>
            <c:v>2015</c:v>
          </c:tx>
          <c:invertIfNegative val="0"/>
          <c:cat>
            <c:numLit>
              <c:formatCode>General</c:formatCode>
              <c:ptCount val="1"/>
              <c:pt idx="0">
                <c:v>2015</c:v>
              </c:pt>
            </c:numLit>
          </c:cat>
          <c:val>
            <c:numLit>
              <c:formatCode>General</c:formatCode>
              <c:ptCount val="1"/>
              <c:pt idx="0">
                <c:v>0</c:v>
              </c:pt>
            </c:numLit>
          </c:val>
        </c:ser>
        <c:dLbls>
          <c:showLegendKey val="0"/>
          <c:showVal val="1"/>
          <c:showCatName val="0"/>
          <c:showSerName val="0"/>
          <c:showPercent val="0"/>
          <c:showBubbleSize val="0"/>
        </c:dLbls>
        <c:gapWidth val="300"/>
        <c:shape val="box"/>
        <c:axId val="125510400"/>
        <c:axId val="125511936"/>
        <c:axId val="121371264"/>
      </c:bar3DChart>
      <c:catAx>
        <c:axId val="125510400"/>
        <c:scaling>
          <c:orientation val="minMax"/>
        </c:scaling>
        <c:delete val="1"/>
        <c:axPos val="b"/>
        <c:numFmt formatCode="General" sourceLinked="1"/>
        <c:majorTickMark val="none"/>
        <c:minorTickMark val="none"/>
        <c:tickLblPos val="nextTo"/>
        <c:crossAx val="125511936"/>
        <c:crosses val="autoZero"/>
        <c:auto val="1"/>
        <c:lblAlgn val="ctr"/>
        <c:lblOffset val="100"/>
        <c:noMultiLvlLbl val="0"/>
      </c:catAx>
      <c:valAx>
        <c:axId val="125511936"/>
        <c:scaling>
          <c:orientation val="minMax"/>
        </c:scaling>
        <c:delete val="0"/>
        <c:axPos val="l"/>
        <c:majorGridlines/>
        <c:minorGridlines/>
        <c:numFmt formatCode="General" sourceLinked="1"/>
        <c:majorTickMark val="out"/>
        <c:minorTickMark val="none"/>
        <c:tickLblPos val="nextTo"/>
        <c:crossAx val="125510400"/>
        <c:crosses val="autoZero"/>
        <c:crossBetween val="between"/>
      </c:valAx>
      <c:serAx>
        <c:axId val="121371264"/>
        <c:scaling>
          <c:orientation val="minMax"/>
        </c:scaling>
        <c:delete val="1"/>
        <c:axPos val="b"/>
        <c:majorTickMark val="none"/>
        <c:minorTickMark val="none"/>
        <c:tickLblPos val="nextTo"/>
        <c:crossAx val="125511936"/>
        <c:crosses val="autoZero"/>
      </c:serAx>
    </c:plotArea>
    <c:legend>
      <c:legendPos val="r"/>
      <c:layout/>
      <c:overlay val="0"/>
    </c:legend>
    <c:plotVisOnly val="1"/>
    <c:dispBlanksAs val="gap"/>
    <c:showDLblsOverMax val="0"/>
  </c:chart>
  <c:printSettings>
    <c:headerFooter/>
    <c:pageMargins b="0.75" l="0.7" r="0.7" t="0.75" header="0.3" footer="0.3"/>
    <c:pageSetup/>
  </c:printSettings>
</c:chartSpace>
</file>

<file path=xl/charts/chart171.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a:pPr>
            <a:r>
              <a:rPr lang="pt-PT"/>
              <a:t>MTBF - </a:t>
            </a:r>
            <a:r>
              <a:rPr lang="pt-PT" sz="1800" b="1" i="0" u="none" strike="noStrike" baseline="0">
                <a:effectLst/>
              </a:rPr>
              <a:t>Incinerador</a:t>
            </a:r>
            <a:r>
              <a:rPr lang="pt-PT"/>
              <a:t>2</a:t>
            </a:r>
          </a:p>
        </c:rich>
      </c:tx>
      <c:layout/>
      <c:overlay val="0"/>
    </c:title>
    <c:autoTitleDeleted val="0"/>
    <c:view3D>
      <c:rotX val="10"/>
      <c:hPercent val="100"/>
      <c:rotY val="70"/>
      <c:depthPercent val="100"/>
      <c:rAngAx val="0"/>
      <c:perspective val="0"/>
    </c:view3D>
    <c:floor>
      <c:thickness val="0"/>
    </c:floor>
    <c:sideWall>
      <c:thickness val="0"/>
    </c:sideWall>
    <c:backWall>
      <c:thickness val="0"/>
    </c:backWall>
    <c:plotArea>
      <c:layout>
        <c:manualLayout>
          <c:layoutTarget val="inner"/>
          <c:xMode val="edge"/>
          <c:yMode val="edge"/>
          <c:x val="7.0883357626873478E-2"/>
          <c:y val="0.23228055962803945"/>
          <c:w val="0.70223214622210628"/>
          <c:h val="0.60242701087055972"/>
        </c:manualLayout>
      </c:layout>
      <c:bar3DChart>
        <c:barDir val="col"/>
        <c:grouping val="standard"/>
        <c:varyColors val="0"/>
        <c:ser>
          <c:idx val="5"/>
          <c:order val="0"/>
          <c:tx>
            <c:v>2010</c:v>
          </c:tx>
          <c:invertIfNegative val="0"/>
          <c:cat>
            <c:numLit>
              <c:formatCode>General</c:formatCode>
              <c:ptCount val="1"/>
              <c:pt idx="0">
                <c:v>2015</c:v>
              </c:pt>
            </c:numLit>
          </c:cat>
          <c:val>
            <c:numRef>
              <c:f>'2010 - MTBF, MTTF, Exponencial'!$J$17</c:f>
              <c:numCache>
                <c:formatCode>General</c:formatCode>
                <c:ptCount val="1"/>
                <c:pt idx="0">
                  <c:v>59</c:v>
                </c:pt>
              </c:numCache>
            </c:numRef>
          </c:val>
        </c:ser>
        <c:ser>
          <c:idx val="4"/>
          <c:order val="1"/>
          <c:tx>
            <c:v>2011</c:v>
          </c:tx>
          <c:invertIfNegative val="0"/>
          <c:dLbls>
            <c:txPr>
              <a:bodyPr rot="0" vert="horz" anchor="t" anchorCtr="0"/>
              <a:lstStyle/>
              <a:p>
                <a:pPr>
                  <a:defRPr/>
                </a:pPr>
                <a:endParaRPr lang="pt-PT"/>
              </a:p>
            </c:txPr>
            <c:showLegendKey val="0"/>
            <c:showVal val="1"/>
            <c:showCatName val="0"/>
            <c:showSerName val="0"/>
            <c:showPercent val="0"/>
            <c:showBubbleSize val="0"/>
            <c:showLeaderLines val="0"/>
          </c:dLbls>
          <c:cat>
            <c:numLit>
              <c:formatCode>General</c:formatCode>
              <c:ptCount val="1"/>
              <c:pt idx="0">
                <c:v>2015</c:v>
              </c:pt>
            </c:numLit>
          </c:cat>
          <c:val>
            <c:numRef>
              <c:f>'2011 - MTBF, MTTF, Exponencial'!$J$18</c:f>
              <c:numCache>
                <c:formatCode>General</c:formatCode>
                <c:ptCount val="1"/>
                <c:pt idx="0">
                  <c:v>44</c:v>
                </c:pt>
              </c:numCache>
            </c:numRef>
          </c:val>
        </c:ser>
        <c:ser>
          <c:idx val="3"/>
          <c:order val="2"/>
          <c:tx>
            <c:v>2012</c:v>
          </c:tx>
          <c:invertIfNegative val="0"/>
          <c:cat>
            <c:numLit>
              <c:formatCode>General</c:formatCode>
              <c:ptCount val="1"/>
              <c:pt idx="0">
                <c:v>2015</c:v>
              </c:pt>
            </c:numLit>
          </c:cat>
          <c:val>
            <c:numRef>
              <c:f>'2012 - MTBF, MTTF, Exponencial'!$J$24</c:f>
              <c:numCache>
                <c:formatCode>General</c:formatCode>
                <c:ptCount val="1"/>
                <c:pt idx="0">
                  <c:v>21</c:v>
                </c:pt>
              </c:numCache>
            </c:numRef>
          </c:val>
        </c:ser>
        <c:ser>
          <c:idx val="2"/>
          <c:order val="3"/>
          <c:tx>
            <c:v>2013</c:v>
          </c:tx>
          <c:invertIfNegative val="0"/>
          <c:cat>
            <c:numLit>
              <c:formatCode>General</c:formatCode>
              <c:ptCount val="1"/>
              <c:pt idx="0">
                <c:v>2015</c:v>
              </c:pt>
            </c:numLit>
          </c:cat>
          <c:val>
            <c:numRef>
              <c:f>'2013 - MTBF, MTTF, Exponencial'!$J$9</c:f>
              <c:numCache>
                <c:formatCode>General</c:formatCode>
                <c:ptCount val="1"/>
                <c:pt idx="0">
                  <c:v>179</c:v>
                </c:pt>
              </c:numCache>
            </c:numRef>
          </c:val>
        </c:ser>
        <c:ser>
          <c:idx val="1"/>
          <c:order val="4"/>
          <c:tx>
            <c:v>2014</c:v>
          </c:tx>
          <c:invertIfNegative val="0"/>
          <c:cat>
            <c:numLit>
              <c:formatCode>General</c:formatCode>
              <c:ptCount val="1"/>
              <c:pt idx="0">
                <c:v>2015</c:v>
              </c:pt>
            </c:numLit>
          </c:cat>
          <c:val>
            <c:numRef>
              <c:f>'2014 - MTBF, MTTF, Exponencial'!$J$12</c:f>
              <c:numCache>
                <c:formatCode>General</c:formatCode>
                <c:ptCount val="1"/>
                <c:pt idx="0">
                  <c:v>70</c:v>
                </c:pt>
              </c:numCache>
            </c:numRef>
          </c:val>
        </c:ser>
        <c:ser>
          <c:idx val="0"/>
          <c:order val="5"/>
          <c:tx>
            <c:v>2015</c:v>
          </c:tx>
          <c:invertIfNegative val="0"/>
          <c:cat>
            <c:numLit>
              <c:formatCode>General</c:formatCode>
              <c:ptCount val="1"/>
              <c:pt idx="0">
                <c:v>2015</c:v>
              </c:pt>
            </c:numLit>
          </c:cat>
          <c:val>
            <c:numRef>
              <c:f>'2015 - MTBF, MTTF, Exponencial'!$J$13</c:f>
              <c:numCache>
                <c:formatCode>General</c:formatCode>
                <c:ptCount val="1"/>
                <c:pt idx="0">
                  <c:v>71</c:v>
                </c:pt>
              </c:numCache>
            </c:numRef>
          </c:val>
        </c:ser>
        <c:dLbls>
          <c:showLegendKey val="0"/>
          <c:showVal val="1"/>
          <c:showCatName val="0"/>
          <c:showSerName val="0"/>
          <c:showPercent val="0"/>
          <c:showBubbleSize val="0"/>
        </c:dLbls>
        <c:gapWidth val="300"/>
        <c:shape val="box"/>
        <c:axId val="125835904"/>
        <c:axId val="125845888"/>
        <c:axId val="125507776"/>
      </c:bar3DChart>
      <c:catAx>
        <c:axId val="125835904"/>
        <c:scaling>
          <c:orientation val="minMax"/>
        </c:scaling>
        <c:delete val="1"/>
        <c:axPos val="b"/>
        <c:numFmt formatCode="General" sourceLinked="1"/>
        <c:majorTickMark val="none"/>
        <c:minorTickMark val="none"/>
        <c:tickLblPos val="nextTo"/>
        <c:crossAx val="125845888"/>
        <c:crosses val="autoZero"/>
        <c:auto val="1"/>
        <c:lblAlgn val="ctr"/>
        <c:lblOffset val="100"/>
        <c:noMultiLvlLbl val="0"/>
      </c:catAx>
      <c:valAx>
        <c:axId val="125845888"/>
        <c:scaling>
          <c:orientation val="minMax"/>
        </c:scaling>
        <c:delete val="0"/>
        <c:axPos val="l"/>
        <c:majorGridlines/>
        <c:minorGridlines/>
        <c:numFmt formatCode="General" sourceLinked="1"/>
        <c:majorTickMark val="out"/>
        <c:minorTickMark val="none"/>
        <c:tickLblPos val="nextTo"/>
        <c:crossAx val="125835904"/>
        <c:crosses val="autoZero"/>
        <c:crossBetween val="between"/>
      </c:valAx>
      <c:serAx>
        <c:axId val="125507776"/>
        <c:scaling>
          <c:orientation val="minMax"/>
        </c:scaling>
        <c:delete val="1"/>
        <c:axPos val="b"/>
        <c:majorTickMark val="none"/>
        <c:minorTickMark val="none"/>
        <c:tickLblPos val="nextTo"/>
        <c:crossAx val="125845888"/>
        <c:crosses val="autoZero"/>
      </c:serAx>
    </c:plotArea>
    <c:legend>
      <c:legendPos val="r"/>
      <c:layout/>
      <c:overlay val="0"/>
    </c:legend>
    <c:plotVisOnly val="1"/>
    <c:dispBlanksAs val="gap"/>
    <c:showDLblsOverMax val="0"/>
  </c:chart>
  <c:printSettings>
    <c:headerFooter/>
    <c:pageMargins b="0.75" l="0.7" r="0.7" t="0.75" header="0.3" footer="0.3"/>
    <c:pageSetup/>
  </c:printSettings>
</c:chartSpace>
</file>

<file path=xl/charts/chart172.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a:pPr>
            <a:r>
              <a:rPr lang="pt-PT"/>
              <a:t>MTBF - </a:t>
            </a:r>
            <a:r>
              <a:rPr lang="pt-PT" sz="1800" b="1" i="0" u="none" strike="noStrike" baseline="0">
                <a:effectLst/>
              </a:rPr>
              <a:t>Incinerador</a:t>
            </a:r>
            <a:r>
              <a:rPr lang="pt-PT"/>
              <a:t>3</a:t>
            </a:r>
          </a:p>
        </c:rich>
      </c:tx>
      <c:layout/>
      <c:overlay val="0"/>
    </c:title>
    <c:autoTitleDeleted val="0"/>
    <c:view3D>
      <c:rotX val="10"/>
      <c:hPercent val="100"/>
      <c:rotY val="70"/>
      <c:depthPercent val="100"/>
      <c:rAngAx val="0"/>
      <c:perspective val="0"/>
    </c:view3D>
    <c:floor>
      <c:thickness val="0"/>
    </c:floor>
    <c:sideWall>
      <c:thickness val="0"/>
    </c:sideWall>
    <c:backWall>
      <c:thickness val="0"/>
    </c:backWall>
    <c:plotArea>
      <c:layout>
        <c:manualLayout>
          <c:layoutTarget val="inner"/>
          <c:xMode val="edge"/>
          <c:yMode val="edge"/>
          <c:x val="7.0883357626873478E-2"/>
          <c:y val="0.23228055962803945"/>
          <c:w val="0.70223214622210628"/>
          <c:h val="0.60242701087055972"/>
        </c:manualLayout>
      </c:layout>
      <c:bar3DChart>
        <c:barDir val="col"/>
        <c:grouping val="standard"/>
        <c:varyColors val="0"/>
        <c:ser>
          <c:idx val="5"/>
          <c:order val="0"/>
          <c:tx>
            <c:v>2010</c:v>
          </c:tx>
          <c:invertIfNegative val="0"/>
          <c:cat>
            <c:numLit>
              <c:formatCode>General</c:formatCode>
              <c:ptCount val="1"/>
              <c:pt idx="0">
                <c:v>2015</c:v>
              </c:pt>
            </c:numLit>
          </c:cat>
          <c:val>
            <c:numRef>
              <c:f>'2010 - MTBF, MTTF, Exponencial'!$J$24</c:f>
              <c:numCache>
                <c:formatCode>General</c:formatCode>
                <c:ptCount val="1"/>
                <c:pt idx="0">
                  <c:v>51</c:v>
                </c:pt>
              </c:numCache>
            </c:numRef>
          </c:val>
        </c:ser>
        <c:ser>
          <c:idx val="4"/>
          <c:order val="1"/>
          <c:tx>
            <c:v>2011</c:v>
          </c:tx>
          <c:invertIfNegative val="0"/>
          <c:dLbls>
            <c:txPr>
              <a:bodyPr rot="0" vert="horz" anchor="t" anchorCtr="0"/>
              <a:lstStyle/>
              <a:p>
                <a:pPr>
                  <a:defRPr/>
                </a:pPr>
                <a:endParaRPr lang="pt-PT"/>
              </a:p>
            </c:txPr>
            <c:showLegendKey val="0"/>
            <c:showVal val="1"/>
            <c:showCatName val="0"/>
            <c:showSerName val="0"/>
            <c:showPercent val="0"/>
            <c:showBubbleSize val="0"/>
            <c:showLeaderLines val="0"/>
          </c:dLbls>
          <c:cat>
            <c:numLit>
              <c:formatCode>General</c:formatCode>
              <c:ptCount val="1"/>
              <c:pt idx="0">
                <c:v>2015</c:v>
              </c:pt>
            </c:numLit>
          </c:cat>
          <c:val>
            <c:numRef>
              <c:f>'2011 - MTBF, MTTF, Exponencial'!$J$32</c:f>
              <c:numCache>
                <c:formatCode>General</c:formatCode>
                <c:ptCount val="1"/>
                <c:pt idx="0">
                  <c:v>25</c:v>
                </c:pt>
              </c:numCache>
            </c:numRef>
          </c:val>
        </c:ser>
        <c:ser>
          <c:idx val="3"/>
          <c:order val="2"/>
          <c:tx>
            <c:v>2012</c:v>
          </c:tx>
          <c:invertIfNegative val="0"/>
          <c:cat>
            <c:numLit>
              <c:formatCode>General</c:formatCode>
              <c:ptCount val="1"/>
              <c:pt idx="0">
                <c:v>2015</c:v>
              </c:pt>
            </c:numLit>
          </c:cat>
          <c:val>
            <c:numRef>
              <c:f>'2012 - MTBF, MTTF, Exponencial'!$J$43</c:f>
              <c:numCache>
                <c:formatCode>General</c:formatCode>
                <c:ptCount val="1"/>
                <c:pt idx="0">
                  <c:v>17</c:v>
                </c:pt>
              </c:numCache>
            </c:numRef>
          </c:val>
        </c:ser>
        <c:ser>
          <c:idx val="2"/>
          <c:order val="3"/>
          <c:tx>
            <c:v>2013</c:v>
          </c:tx>
          <c:invertIfNegative val="0"/>
          <c:cat>
            <c:numLit>
              <c:formatCode>General</c:formatCode>
              <c:ptCount val="1"/>
              <c:pt idx="0">
                <c:v>2015</c:v>
              </c:pt>
            </c:numLit>
          </c:cat>
          <c:val>
            <c:numRef>
              <c:f>'2013 - MTBF, MTTF, Exponencial'!$J$33</c:f>
              <c:numCache>
                <c:formatCode>General</c:formatCode>
                <c:ptCount val="1"/>
                <c:pt idx="0">
                  <c:v>14</c:v>
                </c:pt>
              </c:numCache>
            </c:numRef>
          </c:val>
        </c:ser>
        <c:ser>
          <c:idx val="1"/>
          <c:order val="4"/>
          <c:tx>
            <c:v>2014</c:v>
          </c:tx>
          <c:invertIfNegative val="0"/>
          <c:cat>
            <c:numLit>
              <c:formatCode>General</c:formatCode>
              <c:ptCount val="1"/>
              <c:pt idx="0">
                <c:v>2015</c:v>
              </c:pt>
            </c:numLit>
          </c:cat>
          <c:val>
            <c:numRef>
              <c:f>'2014 - MTBF, MTTF, Exponencial'!$J$19</c:f>
              <c:numCache>
                <c:formatCode>General</c:formatCode>
                <c:ptCount val="1"/>
                <c:pt idx="0">
                  <c:v>51</c:v>
                </c:pt>
              </c:numCache>
            </c:numRef>
          </c:val>
        </c:ser>
        <c:ser>
          <c:idx val="0"/>
          <c:order val="5"/>
          <c:tx>
            <c:v>2015</c:v>
          </c:tx>
          <c:invertIfNegative val="0"/>
          <c:cat>
            <c:numLit>
              <c:formatCode>General</c:formatCode>
              <c:ptCount val="1"/>
              <c:pt idx="0">
                <c:v>2015</c:v>
              </c:pt>
            </c:numLit>
          </c:cat>
          <c:val>
            <c:numRef>
              <c:f>'2015 - MTBF, MTTF, Exponencial'!$J$19</c:f>
              <c:numCache>
                <c:formatCode>General</c:formatCode>
                <c:ptCount val="1"/>
                <c:pt idx="0">
                  <c:v>59</c:v>
                </c:pt>
              </c:numCache>
            </c:numRef>
          </c:val>
        </c:ser>
        <c:dLbls>
          <c:showLegendKey val="0"/>
          <c:showVal val="1"/>
          <c:showCatName val="0"/>
          <c:showSerName val="0"/>
          <c:showPercent val="0"/>
          <c:showBubbleSize val="0"/>
        </c:dLbls>
        <c:gapWidth val="300"/>
        <c:shape val="box"/>
        <c:axId val="125645568"/>
        <c:axId val="125647104"/>
        <c:axId val="125843200"/>
      </c:bar3DChart>
      <c:catAx>
        <c:axId val="125645568"/>
        <c:scaling>
          <c:orientation val="minMax"/>
        </c:scaling>
        <c:delete val="1"/>
        <c:axPos val="b"/>
        <c:numFmt formatCode="General" sourceLinked="1"/>
        <c:majorTickMark val="none"/>
        <c:minorTickMark val="none"/>
        <c:tickLblPos val="nextTo"/>
        <c:crossAx val="125647104"/>
        <c:crosses val="autoZero"/>
        <c:auto val="1"/>
        <c:lblAlgn val="ctr"/>
        <c:lblOffset val="100"/>
        <c:noMultiLvlLbl val="0"/>
      </c:catAx>
      <c:valAx>
        <c:axId val="125647104"/>
        <c:scaling>
          <c:orientation val="minMax"/>
        </c:scaling>
        <c:delete val="0"/>
        <c:axPos val="l"/>
        <c:majorGridlines/>
        <c:minorGridlines/>
        <c:numFmt formatCode="General" sourceLinked="1"/>
        <c:majorTickMark val="out"/>
        <c:minorTickMark val="none"/>
        <c:tickLblPos val="nextTo"/>
        <c:crossAx val="125645568"/>
        <c:crosses val="autoZero"/>
        <c:crossBetween val="between"/>
      </c:valAx>
      <c:serAx>
        <c:axId val="125843200"/>
        <c:scaling>
          <c:orientation val="minMax"/>
        </c:scaling>
        <c:delete val="1"/>
        <c:axPos val="b"/>
        <c:majorTickMark val="none"/>
        <c:minorTickMark val="none"/>
        <c:tickLblPos val="nextTo"/>
        <c:crossAx val="125647104"/>
        <c:crosses val="autoZero"/>
      </c:serAx>
    </c:plotArea>
    <c:legend>
      <c:legendPos val="r"/>
      <c:layout/>
      <c:overlay val="0"/>
    </c:legend>
    <c:plotVisOnly val="1"/>
    <c:dispBlanksAs val="gap"/>
    <c:showDLblsOverMax val="0"/>
  </c:chart>
  <c:printSettings>
    <c:headerFooter/>
    <c:pageMargins b="0.75" l="0.7" r="0.7" t="0.75" header="0.3" footer="0.3"/>
    <c:pageSetup/>
  </c:printSettings>
</c:chartSpace>
</file>

<file path=xl/charts/chart173.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a:pPr>
            <a:r>
              <a:rPr lang="pt-PT"/>
              <a:t>MTBF - Moinhos</a:t>
            </a:r>
          </a:p>
        </c:rich>
      </c:tx>
      <c:layout/>
      <c:overlay val="0"/>
    </c:title>
    <c:autoTitleDeleted val="0"/>
    <c:view3D>
      <c:rotX val="10"/>
      <c:hPercent val="100"/>
      <c:rotY val="70"/>
      <c:depthPercent val="100"/>
      <c:rAngAx val="0"/>
      <c:perspective val="0"/>
    </c:view3D>
    <c:floor>
      <c:thickness val="0"/>
    </c:floor>
    <c:sideWall>
      <c:thickness val="0"/>
    </c:sideWall>
    <c:backWall>
      <c:thickness val="0"/>
    </c:backWall>
    <c:plotArea>
      <c:layout>
        <c:manualLayout>
          <c:layoutTarget val="inner"/>
          <c:xMode val="edge"/>
          <c:yMode val="edge"/>
          <c:x val="7.0883357626873478E-2"/>
          <c:y val="0.23228055962803945"/>
          <c:w val="0.70223214622210628"/>
          <c:h val="0.60242701087055972"/>
        </c:manualLayout>
      </c:layout>
      <c:bar3DChart>
        <c:barDir val="col"/>
        <c:grouping val="standard"/>
        <c:varyColors val="0"/>
        <c:ser>
          <c:idx val="5"/>
          <c:order val="0"/>
          <c:tx>
            <c:v>2010</c:v>
          </c:tx>
          <c:invertIfNegative val="0"/>
          <c:cat>
            <c:numLit>
              <c:formatCode>General</c:formatCode>
              <c:ptCount val="1"/>
              <c:pt idx="0">
                <c:v>2015</c:v>
              </c:pt>
            </c:numLit>
          </c:cat>
          <c:val>
            <c:numLit>
              <c:formatCode>General</c:formatCode>
              <c:ptCount val="1"/>
              <c:pt idx="0">
                <c:v>0</c:v>
              </c:pt>
            </c:numLit>
          </c:val>
        </c:ser>
        <c:ser>
          <c:idx val="4"/>
          <c:order val="1"/>
          <c:tx>
            <c:v>2011</c:v>
          </c:tx>
          <c:invertIfNegative val="0"/>
          <c:dLbls>
            <c:txPr>
              <a:bodyPr rot="0" vert="horz" anchor="t" anchorCtr="0"/>
              <a:lstStyle/>
              <a:p>
                <a:pPr>
                  <a:defRPr/>
                </a:pPr>
                <a:endParaRPr lang="pt-PT"/>
              </a:p>
            </c:txPr>
            <c:showLegendKey val="0"/>
            <c:showVal val="1"/>
            <c:showCatName val="0"/>
            <c:showSerName val="0"/>
            <c:showPercent val="0"/>
            <c:showBubbleSize val="0"/>
            <c:showLeaderLines val="0"/>
          </c:dLbls>
          <c:cat>
            <c:numLit>
              <c:formatCode>General</c:formatCode>
              <c:ptCount val="1"/>
              <c:pt idx="0">
                <c:v>2015</c:v>
              </c:pt>
            </c:numLit>
          </c:cat>
          <c:val>
            <c:numRef>
              <c:f>'2011 - MTBF, MTTF, Exponencial'!$J$33</c:f>
              <c:numCache>
                <c:formatCode>General</c:formatCode>
                <c:ptCount val="1"/>
                <c:pt idx="0">
                  <c:v>359</c:v>
                </c:pt>
              </c:numCache>
            </c:numRef>
          </c:val>
        </c:ser>
        <c:ser>
          <c:idx val="3"/>
          <c:order val="2"/>
          <c:tx>
            <c:v>2012</c:v>
          </c:tx>
          <c:invertIfNegative val="0"/>
          <c:cat>
            <c:numLit>
              <c:formatCode>General</c:formatCode>
              <c:ptCount val="1"/>
              <c:pt idx="0">
                <c:v>2015</c:v>
              </c:pt>
            </c:numLit>
          </c:cat>
          <c:val>
            <c:numRef>
              <c:f>'2012 - MTBF, MTTF, Exponencial'!$J$46</c:f>
              <c:numCache>
                <c:formatCode>General</c:formatCode>
                <c:ptCount val="1"/>
                <c:pt idx="0">
                  <c:v>119</c:v>
                </c:pt>
              </c:numCache>
            </c:numRef>
          </c:val>
        </c:ser>
        <c:ser>
          <c:idx val="2"/>
          <c:order val="3"/>
          <c:tx>
            <c:v>2013</c:v>
          </c:tx>
          <c:invertIfNegative val="0"/>
          <c:cat>
            <c:numLit>
              <c:formatCode>General</c:formatCode>
              <c:ptCount val="1"/>
              <c:pt idx="0">
                <c:v>2015</c:v>
              </c:pt>
            </c:numLit>
          </c:cat>
          <c:val>
            <c:numRef>
              <c:f>'2013 - MTBF, MTTF, Exponencial'!$J$38</c:f>
              <c:numCache>
                <c:formatCode>General</c:formatCode>
                <c:ptCount val="1"/>
                <c:pt idx="0">
                  <c:v>71</c:v>
                </c:pt>
              </c:numCache>
            </c:numRef>
          </c:val>
        </c:ser>
        <c:ser>
          <c:idx val="1"/>
          <c:order val="4"/>
          <c:tx>
            <c:v>2014</c:v>
          </c:tx>
          <c:invertIfNegative val="0"/>
          <c:cat>
            <c:numLit>
              <c:formatCode>General</c:formatCode>
              <c:ptCount val="1"/>
              <c:pt idx="0">
                <c:v>2015</c:v>
              </c:pt>
            </c:numLit>
          </c:cat>
          <c:val>
            <c:numRef>
              <c:f>'2014 - MTBF, MTTF, Exponencial'!$J$20</c:f>
              <c:numCache>
                <c:formatCode>General</c:formatCode>
                <c:ptCount val="1"/>
                <c:pt idx="0">
                  <c:v>359</c:v>
                </c:pt>
              </c:numCache>
            </c:numRef>
          </c:val>
        </c:ser>
        <c:ser>
          <c:idx val="0"/>
          <c:order val="5"/>
          <c:tx>
            <c:v>2015</c:v>
          </c:tx>
          <c:invertIfNegative val="0"/>
          <c:cat>
            <c:numLit>
              <c:formatCode>General</c:formatCode>
              <c:ptCount val="1"/>
              <c:pt idx="0">
                <c:v>2015</c:v>
              </c:pt>
            </c:numLit>
          </c:cat>
          <c:val>
            <c:numRef>
              <c:f>'2015 - MTBF, MTTF, Exponencial'!$J$20</c:f>
              <c:numCache>
                <c:formatCode>General</c:formatCode>
                <c:ptCount val="1"/>
                <c:pt idx="0">
                  <c:v>355</c:v>
                </c:pt>
              </c:numCache>
            </c:numRef>
          </c:val>
        </c:ser>
        <c:dLbls>
          <c:showLegendKey val="0"/>
          <c:showVal val="1"/>
          <c:showCatName val="0"/>
          <c:showSerName val="0"/>
          <c:showPercent val="0"/>
          <c:showBubbleSize val="0"/>
        </c:dLbls>
        <c:gapWidth val="300"/>
        <c:shape val="box"/>
        <c:axId val="125700736"/>
        <c:axId val="125714816"/>
        <c:axId val="125695296"/>
      </c:bar3DChart>
      <c:catAx>
        <c:axId val="125700736"/>
        <c:scaling>
          <c:orientation val="minMax"/>
        </c:scaling>
        <c:delete val="1"/>
        <c:axPos val="b"/>
        <c:numFmt formatCode="General" sourceLinked="1"/>
        <c:majorTickMark val="none"/>
        <c:minorTickMark val="none"/>
        <c:tickLblPos val="nextTo"/>
        <c:crossAx val="125714816"/>
        <c:crosses val="autoZero"/>
        <c:auto val="1"/>
        <c:lblAlgn val="ctr"/>
        <c:lblOffset val="100"/>
        <c:noMultiLvlLbl val="0"/>
      </c:catAx>
      <c:valAx>
        <c:axId val="125714816"/>
        <c:scaling>
          <c:orientation val="minMax"/>
        </c:scaling>
        <c:delete val="0"/>
        <c:axPos val="l"/>
        <c:majorGridlines/>
        <c:minorGridlines/>
        <c:numFmt formatCode="General" sourceLinked="1"/>
        <c:majorTickMark val="out"/>
        <c:minorTickMark val="none"/>
        <c:tickLblPos val="nextTo"/>
        <c:crossAx val="125700736"/>
        <c:crosses val="autoZero"/>
        <c:crossBetween val="between"/>
      </c:valAx>
      <c:serAx>
        <c:axId val="125695296"/>
        <c:scaling>
          <c:orientation val="minMax"/>
        </c:scaling>
        <c:delete val="1"/>
        <c:axPos val="b"/>
        <c:majorTickMark val="none"/>
        <c:minorTickMark val="none"/>
        <c:tickLblPos val="nextTo"/>
        <c:crossAx val="125714816"/>
        <c:crosses val="autoZero"/>
      </c:serAx>
    </c:plotArea>
    <c:legend>
      <c:legendPos val="r"/>
      <c:layout/>
      <c:overlay val="0"/>
    </c:legend>
    <c:plotVisOnly val="1"/>
    <c:dispBlanksAs val="gap"/>
    <c:showDLblsOverMax val="0"/>
  </c:chart>
  <c:printSettings>
    <c:headerFooter/>
    <c:pageMargins b="0.75" l="0.7" r="0.7" t="0.75" header="0.3" footer="0.3"/>
    <c:pageSetup/>
  </c:printSettings>
</c:chartSpace>
</file>

<file path=xl/charts/chart174.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a:pPr>
            <a:r>
              <a:rPr lang="pt-PT"/>
              <a:t>MTBF - Postos Urbanos</a:t>
            </a:r>
          </a:p>
        </c:rich>
      </c:tx>
      <c:layout/>
      <c:overlay val="0"/>
    </c:title>
    <c:autoTitleDeleted val="0"/>
    <c:view3D>
      <c:rotX val="10"/>
      <c:hPercent val="100"/>
      <c:rotY val="70"/>
      <c:depthPercent val="100"/>
      <c:rAngAx val="0"/>
      <c:perspective val="0"/>
    </c:view3D>
    <c:floor>
      <c:thickness val="0"/>
    </c:floor>
    <c:sideWall>
      <c:thickness val="0"/>
    </c:sideWall>
    <c:backWall>
      <c:thickness val="0"/>
    </c:backWall>
    <c:plotArea>
      <c:layout>
        <c:manualLayout>
          <c:layoutTarget val="inner"/>
          <c:xMode val="edge"/>
          <c:yMode val="edge"/>
          <c:x val="7.0883357626873478E-2"/>
          <c:y val="0.23228055962803945"/>
          <c:w val="0.70223214622210628"/>
          <c:h val="0.60242701087055972"/>
        </c:manualLayout>
      </c:layout>
      <c:bar3DChart>
        <c:barDir val="col"/>
        <c:grouping val="standard"/>
        <c:varyColors val="0"/>
        <c:ser>
          <c:idx val="5"/>
          <c:order val="0"/>
          <c:tx>
            <c:v>2010</c:v>
          </c:tx>
          <c:invertIfNegative val="0"/>
          <c:cat>
            <c:numLit>
              <c:formatCode>General</c:formatCode>
              <c:ptCount val="1"/>
              <c:pt idx="0">
                <c:v>2015</c:v>
              </c:pt>
            </c:numLit>
          </c:cat>
          <c:val>
            <c:numRef>
              <c:f>'2010 - MTBF, MTTF, Exponencial'!$J$25</c:f>
              <c:numCache>
                <c:formatCode>General</c:formatCode>
                <c:ptCount val="1"/>
                <c:pt idx="0">
                  <c:v>359</c:v>
                </c:pt>
              </c:numCache>
            </c:numRef>
          </c:val>
        </c:ser>
        <c:ser>
          <c:idx val="4"/>
          <c:order val="1"/>
          <c:tx>
            <c:v>2011</c:v>
          </c:tx>
          <c:invertIfNegative val="0"/>
          <c:dLbls>
            <c:txPr>
              <a:bodyPr rot="0" vert="horz" anchor="t" anchorCtr="0"/>
              <a:lstStyle/>
              <a:p>
                <a:pPr>
                  <a:defRPr/>
                </a:pPr>
                <a:endParaRPr lang="pt-PT"/>
              </a:p>
            </c:txPr>
            <c:showLegendKey val="0"/>
            <c:showVal val="1"/>
            <c:showCatName val="0"/>
            <c:showSerName val="0"/>
            <c:showPercent val="0"/>
            <c:showBubbleSize val="0"/>
            <c:showLeaderLines val="0"/>
          </c:dLbls>
          <c:cat>
            <c:numLit>
              <c:formatCode>General</c:formatCode>
              <c:ptCount val="1"/>
              <c:pt idx="0">
                <c:v>2015</c:v>
              </c:pt>
            </c:numLit>
          </c:cat>
          <c:val>
            <c:numRef>
              <c:f>'2011 - MTBF, MTTF, Exponencial'!$J$35</c:f>
              <c:numCache>
                <c:formatCode>General</c:formatCode>
                <c:ptCount val="1"/>
                <c:pt idx="0">
                  <c:v>177</c:v>
                </c:pt>
              </c:numCache>
            </c:numRef>
          </c:val>
        </c:ser>
        <c:ser>
          <c:idx val="3"/>
          <c:order val="2"/>
          <c:tx>
            <c:v>2012</c:v>
          </c:tx>
          <c:invertIfNegative val="0"/>
          <c:cat>
            <c:numLit>
              <c:formatCode>General</c:formatCode>
              <c:ptCount val="1"/>
              <c:pt idx="0">
                <c:v>2015</c:v>
              </c:pt>
            </c:numLit>
          </c:cat>
          <c:val>
            <c:numRef>
              <c:f>'2012 - MTBF, MTTF, Exponencial'!$J$52</c:f>
              <c:numCache>
                <c:formatCode>General</c:formatCode>
                <c:ptCount val="1"/>
                <c:pt idx="0">
                  <c:v>51</c:v>
                </c:pt>
              </c:numCache>
            </c:numRef>
          </c:val>
        </c:ser>
        <c:ser>
          <c:idx val="2"/>
          <c:order val="3"/>
          <c:tx>
            <c:v>2013</c:v>
          </c:tx>
          <c:invertIfNegative val="0"/>
          <c:cat>
            <c:numLit>
              <c:formatCode>General</c:formatCode>
              <c:ptCount val="1"/>
              <c:pt idx="0">
                <c:v>2015</c:v>
              </c:pt>
            </c:numLit>
          </c:cat>
          <c:val>
            <c:numRef>
              <c:f>'2013 - MTBF, MTTF, Exponencial'!$J$42</c:f>
              <c:numCache>
                <c:formatCode>General</c:formatCode>
                <c:ptCount val="1"/>
                <c:pt idx="0">
                  <c:v>89</c:v>
                </c:pt>
              </c:numCache>
            </c:numRef>
          </c:val>
        </c:ser>
        <c:ser>
          <c:idx val="1"/>
          <c:order val="4"/>
          <c:tx>
            <c:v>2014</c:v>
          </c:tx>
          <c:invertIfNegative val="0"/>
          <c:cat>
            <c:numLit>
              <c:formatCode>General</c:formatCode>
              <c:ptCount val="1"/>
              <c:pt idx="0">
                <c:v>2015</c:v>
              </c:pt>
            </c:numLit>
          </c:cat>
          <c:val>
            <c:numRef>
              <c:f>'2014 - MTBF, MTTF, Exponencial'!$J$24</c:f>
              <c:numCache>
                <c:formatCode>General</c:formatCode>
                <c:ptCount val="1"/>
                <c:pt idx="0">
                  <c:v>82</c:v>
                </c:pt>
              </c:numCache>
            </c:numRef>
          </c:val>
        </c:ser>
        <c:ser>
          <c:idx val="0"/>
          <c:order val="5"/>
          <c:tx>
            <c:v>2015</c:v>
          </c:tx>
          <c:invertIfNegative val="0"/>
          <c:cat>
            <c:numLit>
              <c:formatCode>General</c:formatCode>
              <c:ptCount val="1"/>
              <c:pt idx="0">
                <c:v>2015</c:v>
              </c:pt>
            </c:numLit>
          </c:cat>
          <c:val>
            <c:numRef>
              <c:f>'2015 - MTBF, MTTF, Exponencial'!$J$25</c:f>
              <c:numCache>
                <c:formatCode>General</c:formatCode>
                <c:ptCount val="1"/>
                <c:pt idx="0">
                  <c:v>70</c:v>
                </c:pt>
              </c:numCache>
            </c:numRef>
          </c:val>
        </c:ser>
        <c:dLbls>
          <c:showLegendKey val="0"/>
          <c:showVal val="1"/>
          <c:showCatName val="0"/>
          <c:showSerName val="0"/>
          <c:showPercent val="0"/>
          <c:showBubbleSize val="0"/>
        </c:dLbls>
        <c:gapWidth val="300"/>
        <c:shape val="box"/>
        <c:axId val="125768448"/>
        <c:axId val="125769984"/>
        <c:axId val="125760384"/>
      </c:bar3DChart>
      <c:catAx>
        <c:axId val="125768448"/>
        <c:scaling>
          <c:orientation val="minMax"/>
        </c:scaling>
        <c:delete val="1"/>
        <c:axPos val="b"/>
        <c:numFmt formatCode="General" sourceLinked="1"/>
        <c:majorTickMark val="none"/>
        <c:minorTickMark val="none"/>
        <c:tickLblPos val="nextTo"/>
        <c:crossAx val="125769984"/>
        <c:crosses val="autoZero"/>
        <c:auto val="1"/>
        <c:lblAlgn val="ctr"/>
        <c:lblOffset val="100"/>
        <c:noMultiLvlLbl val="0"/>
      </c:catAx>
      <c:valAx>
        <c:axId val="125769984"/>
        <c:scaling>
          <c:orientation val="minMax"/>
        </c:scaling>
        <c:delete val="0"/>
        <c:axPos val="l"/>
        <c:majorGridlines/>
        <c:minorGridlines/>
        <c:numFmt formatCode="General" sourceLinked="1"/>
        <c:majorTickMark val="out"/>
        <c:minorTickMark val="none"/>
        <c:tickLblPos val="nextTo"/>
        <c:crossAx val="125768448"/>
        <c:crosses val="autoZero"/>
        <c:crossBetween val="between"/>
      </c:valAx>
      <c:serAx>
        <c:axId val="125760384"/>
        <c:scaling>
          <c:orientation val="minMax"/>
        </c:scaling>
        <c:delete val="1"/>
        <c:axPos val="b"/>
        <c:majorTickMark val="none"/>
        <c:minorTickMark val="none"/>
        <c:tickLblPos val="nextTo"/>
        <c:crossAx val="125769984"/>
        <c:crosses val="autoZero"/>
      </c:serAx>
    </c:plotArea>
    <c:legend>
      <c:legendPos val="r"/>
      <c:layout/>
      <c:overlay val="0"/>
    </c:legend>
    <c:plotVisOnly val="1"/>
    <c:dispBlanksAs val="gap"/>
    <c:showDLblsOverMax val="0"/>
  </c:chart>
  <c:printSettings>
    <c:headerFooter/>
    <c:pageMargins b="0.75" l="0.7" r="0.7" t="0.75" header="0.3" footer="0.3"/>
    <c:pageSetup/>
  </c:printSettings>
</c:chartSpace>
</file>

<file path=xl/charts/chart175.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a:pPr>
            <a:r>
              <a:rPr lang="pt-PT"/>
              <a:t>MTBF - Incinerador1 -</a:t>
            </a:r>
            <a:r>
              <a:rPr lang="pt-PT" baseline="0"/>
              <a:t> Alimentação</a:t>
            </a:r>
          </a:p>
        </c:rich>
      </c:tx>
      <c:layout/>
      <c:overlay val="0"/>
    </c:title>
    <c:autoTitleDeleted val="0"/>
    <c:view3D>
      <c:rotX val="10"/>
      <c:hPercent val="100"/>
      <c:rotY val="70"/>
      <c:depthPercent val="100"/>
      <c:rAngAx val="0"/>
      <c:perspective val="0"/>
    </c:view3D>
    <c:floor>
      <c:thickness val="0"/>
    </c:floor>
    <c:sideWall>
      <c:thickness val="0"/>
    </c:sideWall>
    <c:backWall>
      <c:thickness val="0"/>
    </c:backWall>
    <c:plotArea>
      <c:layout>
        <c:manualLayout>
          <c:layoutTarget val="inner"/>
          <c:xMode val="edge"/>
          <c:yMode val="edge"/>
          <c:x val="7.0883357626873478E-2"/>
          <c:y val="0.23228055962803945"/>
          <c:w val="0.70223214622210628"/>
          <c:h val="0.60242701087055972"/>
        </c:manualLayout>
      </c:layout>
      <c:bar3DChart>
        <c:barDir val="col"/>
        <c:grouping val="standard"/>
        <c:varyColors val="0"/>
        <c:ser>
          <c:idx val="5"/>
          <c:order val="0"/>
          <c:tx>
            <c:v>2010</c:v>
          </c:tx>
          <c:invertIfNegative val="0"/>
          <c:cat>
            <c:numLit>
              <c:formatCode>General</c:formatCode>
              <c:ptCount val="1"/>
              <c:pt idx="0">
                <c:v>2015</c:v>
              </c:pt>
            </c:numLit>
          </c:cat>
          <c:val>
            <c:numRef>
              <c:f>'2010 - MTBF, MTTF, Exponencial'!$Z$9</c:f>
              <c:numCache>
                <c:formatCode>General</c:formatCode>
                <c:ptCount val="1"/>
                <c:pt idx="0">
                  <c:v>179</c:v>
                </c:pt>
              </c:numCache>
            </c:numRef>
          </c:val>
        </c:ser>
        <c:ser>
          <c:idx val="4"/>
          <c:order val="1"/>
          <c:tx>
            <c:v>2011</c:v>
          </c:tx>
          <c:invertIfNegative val="0"/>
          <c:dLbls>
            <c:txPr>
              <a:bodyPr rot="0" vert="horz" anchor="t" anchorCtr="0"/>
              <a:lstStyle/>
              <a:p>
                <a:pPr>
                  <a:defRPr/>
                </a:pPr>
                <a:endParaRPr lang="pt-PT"/>
              </a:p>
            </c:txPr>
            <c:showLegendKey val="0"/>
            <c:showVal val="1"/>
            <c:showCatName val="0"/>
            <c:showSerName val="0"/>
            <c:showPercent val="0"/>
            <c:showBubbleSize val="0"/>
            <c:showLeaderLines val="0"/>
          </c:dLbls>
          <c:cat>
            <c:numLit>
              <c:formatCode>General</c:formatCode>
              <c:ptCount val="1"/>
              <c:pt idx="0">
                <c:v>2015</c:v>
              </c:pt>
            </c:numLit>
          </c:cat>
          <c:val>
            <c:numLit>
              <c:formatCode>General</c:formatCode>
              <c:ptCount val="1"/>
              <c:pt idx="0">
                <c:v>0</c:v>
              </c:pt>
            </c:numLit>
          </c:val>
        </c:ser>
        <c:ser>
          <c:idx val="3"/>
          <c:order val="2"/>
          <c:tx>
            <c:v>2012</c:v>
          </c:tx>
          <c:invertIfNegative val="0"/>
          <c:cat>
            <c:numLit>
              <c:formatCode>General</c:formatCode>
              <c:ptCount val="1"/>
              <c:pt idx="0">
                <c:v>2015</c:v>
              </c:pt>
            </c:numLit>
          </c:cat>
          <c:val>
            <c:numLit>
              <c:formatCode>General</c:formatCode>
              <c:ptCount val="1"/>
              <c:pt idx="0">
                <c:v>0</c:v>
              </c:pt>
            </c:numLit>
          </c:val>
        </c:ser>
        <c:ser>
          <c:idx val="2"/>
          <c:order val="3"/>
          <c:tx>
            <c:v>2013</c:v>
          </c:tx>
          <c:invertIfNegative val="0"/>
          <c:cat>
            <c:numLit>
              <c:formatCode>General</c:formatCode>
              <c:ptCount val="1"/>
              <c:pt idx="0">
                <c:v>2015</c:v>
              </c:pt>
            </c:numLit>
          </c:cat>
          <c:val>
            <c:numLit>
              <c:formatCode>General</c:formatCode>
              <c:ptCount val="1"/>
              <c:pt idx="0">
                <c:v>0</c:v>
              </c:pt>
            </c:numLit>
          </c:val>
        </c:ser>
        <c:ser>
          <c:idx val="1"/>
          <c:order val="4"/>
          <c:tx>
            <c:v>2014</c:v>
          </c:tx>
          <c:invertIfNegative val="0"/>
          <c:cat>
            <c:numLit>
              <c:formatCode>General</c:formatCode>
              <c:ptCount val="1"/>
              <c:pt idx="0">
                <c:v>2015</c:v>
              </c:pt>
            </c:numLit>
          </c:cat>
          <c:val>
            <c:numLit>
              <c:formatCode>General</c:formatCode>
              <c:ptCount val="1"/>
              <c:pt idx="0">
                <c:v>0</c:v>
              </c:pt>
            </c:numLit>
          </c:val>
        </c:ser>
        <c:ser>
          <c:idx val="0"/>
          <c:order val="5"/>
          <c:tx>
            <c:v>2015</c:v>
          </c:tx>
          <c:invertIfNegative val="0"/>
          <c:cat>
            <c:numLit>
              <c:formatCode>General</c:formatCode>
              <c:ptCount val="1"/>
              <c:pt idx="0">
                <c:v>2015</c:v>
              </c:pt>
            </c:numLit>
          </c:cat>
          <c:val>
            <c:numLit>
              <c:formatCode>General</c:formatCode>
              <c:ptCount val="1"/>
              <c:pt idx="0">
                <c:v>0</c:v>
              </c:pt>
            </c:numLit>
          </c:val>
        </c:ser>
        <c:dLbls>
          <c:showLegendKey val="0"/>
          <c:showVal val="1"/>
          <c:showCatName val="0"/>
          <c:showSerName val="0"/>
          <c:showPercent val="0"/>
          <c:showBubbleSize val="0"/>
        </c:dLbls>
        <c:gapWidth val="300"/>
        <c:shape val="box"/>
        <c:axId val="125296000"/>
        <c:axId val="125310080"/>
        <c:axId val="125301184"/>
      </c:bar3DChart>
      <c:catAx>
        <c:axId val="125296000"/>
        <c:scaling>
          <c:orientation val="minMax"/>
        </c:scaling>
        <c:delete val="1"/>
        <c:axPos val="b"/>
        <c:numFmt formatCode="General" sourceLinked="1"/>
        <c:majorTickMark val="none"/>
        <c:minorTickMark val="none"/>
        <c:tickLblPos val="nextTo"/>
        <c:crossAx val="125310080"/>
        <c:crosses val="autoZero"/>
        <c:auto val="1"/>
        <c:lblAlgn val="ctr"/>
        <c:lblOffset val="100"/>
        <c:noMultiLvlLbl val="0"/>
      </c:catAx>
      <c:valAx>
        <c:axId val="125310080"/>
        <c:scaling>
          <c:orientation val="minMax"/>
        </c:scaling>
        <c:delete val="0"/>
        <c:axPos val="l"/>
        <c:majorGridlines/>
        <c:minorGridlines/>
        <c:numFmt formatCode="General" sourceLinked="1"/>
        <c:majorTickMark val="out"/>
        <c:minorTickMark val="none"/>
        <c:tickLblPos val="nextTo"/>
        <c:crossAx val="125296000"/>
        <c:crosses val="autoZero"/>
        <c:crossBetween val="between"/>
      </c:valAx>
      <c:serAx>
        <c:axId val="125301184"/>
        <c:scaling>
          <c:orientation val="minMax"/>
        </c:scaling>
        <c:delete val="1"/>
        <c:axPos val="b"/>
        <c:majorTickMark val="none"/>
        <c:minorTickMark val="none"/>
        <c:tickLblPos val="nextTo"/>
        <c:crossAx val="125310080"/>
        <c:crosses val="autoZero"/>
      </c:serAx>
    </c:plotArea>
    <c:legend>
      <c:legendPos val="r"/>
      <c:layout/>
      <c:overlay val="0"/>
    </c:legend>
    <c:plotVisOnly val="1"/>
    <c:dispBlanksAs val="gap"/>
    <c:showDLblsOverMax val="0"/>
  </c:chart>
  <c:printSettings>
    <c:headerFooter/>
    <c:pageMargins b="0.75" l="0.7" r="0.7" t="0.75" header="0.3" footer="0.3"/>
    <c:pageSetup/>
  </c:printSettings>
</c:chartSpace>
</file>

<file path=xl/charts/chart176.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a:pPr>
            <a:r>
              <a:rPr lang="pt-PT"/>
              <a:t>MTBF - Incinerador1</a:t>
            </a:r>
            <a:r>
              <a:rPr lang="pt-PT" baseline="0"/>
              <a:t> - Precipitador</a:t>
            </a:r>
          </a:p>
        </c:rich>
      </c:tx>
      <c:layout/>
      <c:overlay val="0"/>
    </c:title>
    <c:autoTitleDeleted val="0"/>
    <c:view3D>
      <c:rotX val="10"/>
      <c:hPercent val="100"/>
      <c:rotY val="70"/>
      <c:depthPercent val="100"/>
      <c:rAngAx val="0"/>
      <c:perspective val="0"/>
    </c:view3D>
    <c:floor>
      <c:thickness val="0"/>
    </c:floor>
    <c:sideWall>
      <c:thickness val="0"/>
    </c:sideWall>
    <c:backWall>
      <c:thickness val="0"/>
    </c:backWall>
    <c:plotArea>
      <c:layout>
        <c:manualLayout>
          <c:layoutTarget val="inner"/>
          <c:xMode val="edge"/>
          <c:yMode val="edge"/>
          <c:x val="7.0883357626873478E-2"/>
          <c:y val="0.23228055962803945"/>
          <c:w val="0.70223214622210628"/>
          <c:h val="0.60242701087055972"/>
        </c:manualLayout>
      </c:layout>
      <c:bar3DChart>
        <c:barDir val="col"/>
        <c:grouping val="standard"/>
        <c:varyColors val="0"/>
        <c:ser>
          <c:idx val="5"/>
          <c:order val="0"/>
          <c:tx>
            <c:v>2010</c:v>
          </c:tx>
          <c:invertIfNegative val="0"/>
          <c:cat>
            <c:numLit>
              <c:formatCode>General</c:formatCode>
              <c:ptCount val="1"/>
              <c:pt idx="0">
                <c:v>2015</c:v>
              </c:pt>
            </c:numLit>
          </c:cat>
          <c:val>
            <c:numLit>
              <c:formatCode>General</c:formatCode>
              <c:ptCount val="1"/>
              <c:pt idx="0">
                <c:v>0</c:v>
              </c:pt>
            </c:numLit>
          </c:val>
        </c:ser>
        <c:ser>
          <c:idx val="4"/>
          <c:order val="1"/>
          <c:tx>
            <c:v>2011</c:v>
          </c:tx>
          <c:invertIfNegative val="0"/>
          <c:dLbls>
            <c:txPr>
              <a:bodyPr rot="0" vert="horz" anchor="t" anchorCtr="0"/>
              <a:lstStyle/>
              <a:p>
                <a:pPr>
                  <a:defRPr/>
                </a:pPr>
                <a:endParaRPr lang="pt-PT"/>
              </a:p>
            </c:txPr>
            <c:showLegendKey val="0"/>
            <c:showVal val="1"/>
            <c:showCatName val="0"/>
            <c:showSerName val="0"/>
            <c:showPercent val="0"/>
            <c:showBubbleSize val="0"/>
            <c:showLeaderLines val="0"/>
          </c:dLbls>
          <c:cat>
            <c:numLit>
              <c:formatCode>General</c:formatCode>
              <c:ptCount val="1"/>
              <c:pt idx="0">
                <c:v>2015</c:v>
              </c:pt>
            </c:numLit>
          </c:cat>
          <c:val>
            <c:numLit>
              <c:formatCode>General</c:formatCode>
              <c:ptCount val="1"/>
              <c:pt idx="0">
                <c:v>0</c:v>
              </c:pt>
            </c:numLit>
          </c:val>
        </c:ser>
        <c:ser>
          <c:idx val="3"/>
          <c:order val="2"/>
          <c:tx>
            <c:v>2012</c:v>
          </c:tx>
          <c:invertIfNegative val="0"/>
          <c:cat>
            <c:numLit>
              <c:formatCode>General</c:formatCode>
              <c:ptCount val="1"/>
              <c:pt idx="0">
                <c:v>2015</c:v>
              </c:pt>
            </c:numLit>
          </c:cat>
          <c:val>
            <c:numLit>
              <c:formatCode>General</c:formatCode>
              <c:ptCount val="1"/>
              <c:pt idx="0">
                <c:v>0</c:v>
              </c:pt>
            </c:numLit>
          </c:val>
        </c:ser>
        <c:ser>
          <c:idx val="2"/>
          <c:order val="3"/>
          <c:tx>
            <c:v>2013</c:v>
          </c:tx>
          <c:invertIfNegative val="0"/>
          <c:cat>
            <c:numLit>
              <c:formatCode>General</c:formatCode>
              <c:ptCount val="1"/>
              <c:pt idx="0">
                <c:v>2015</c:v>
              </c:pt>
            </c:numLit>
          </c:cat>
          <c:val>
            <c:numLit>
              <c:formatCode>General</c:formatCode>
              <c:ptCount val="1"/>
              <c:pt idx="0">
                <c:v>0</c:v>
              </c:pt>
            </c:numLit>
          </c:val>
        </c:ser>
        <c:ser>
          <c:idx val="1"/>
          <c:order val="4"/>
          <c:tx>
            <c:v>2014</c:v>
          </c:tx>
          <c:invertIfNegative val="0"/>
          <c:cat>
            <c:numLit>
              <c:formatCode>General</c:formatCode>
              <c:ptCount val="1"/>
              <c:pt idx="0">
                <c:v>2015</c:v>
              </c:pt>
            </c:numLit>
          </c:cat>
          <c:val>
            <c:numLit>
              <c:formatCode>General</c:formatCode>
              <c:ptCount val="1"/>
              <c:pt idx="0">
                <c:v>0</c:v>
              </c:pt>
            </c:numLit>
          </c:val>
        </c:ser>
        <c:ser>
          <c:idx val="0"/>
          <c:order val="5"/>
          <c:tx>
            <c:v>2015</c:v>
          </c:tx>
          <c:invertIfNegative val="0"/>
          <c:cat>
            <c:numLit>
              <c:formatCode>General</c:formatCode>
              <c:ptCount val="1"/>
              <c:pt idx="0">
                <c:v>2015</c:v>
              </c:pt>
            </c:numLit>
          </c:cat>
          <c:val>
            <c:numLit>
              <c:formatCode>General</c:formatCode>
              <c:ptCount val="1"/>
              <c:pt idx="0">
                <c:v>0</c:v>
              </c:pt>
            </c:numLit>
          </c:val>
        </c:ser>
        <c:dLbls>
          <c:showLegendKey val="0"/>
          <c:showVal val="1"/>
          <c:showCatName val="0"/>
          <c:showSerName val="0"/>
          <c:showPercent val="0"/>
          <c:showBubbleSize val="0"/>
        </c:dLbls>
        <c:gapWidth val="300"/>
        <c:shape val="box"/>
        <c:axId val="125441536"/>
        <c:axId val="125443072"/>
        <c:axId val="125435904"/>
      </c:bar3DChart>
      <c:catAx>
        <c:axId val="125441536"/>
        <c:scaling>
          <c:orientation val="minMax"/>
        </c:scaling>
        <c:delete val="1"/>
        <c:axPos val="b"/>
        <c:numFmt formatCode="General" sourceLinked="1"/>
        <c:majorTickMark val="none"/>
        <c:minorTickMark val="none"/>
        <c:tickLblPos val="nextTo"/>
        <c:crossAx val="125443072"/>
        <c:crosses val="autoZero"/>
        <c:auto val="1"/>
        <c:lblAlgn val="ctr"/>
        <c:lblOffset val="100"/>
        <c:noMultiLvlLbl val="0"/>
      </c:catAx>
      <c:valAx>
        <c:axId val="125443072"/>
        <c:scaling>
          <c:orientation val="minMax"/>
        </c:scaling>
        <c:delete val="0"/>
        <c:axPos val="l"/>
        <c:majorGridlines/>
        <c:minorGridlines/>
        <c:numFmt formatCode="General" sourceLinked="1"/>
        <c:majorTickMark val="out"/>
        <c:minorTickMark val="none"/>
        <c:tickLblPos val="nextTo"/>
        <c:crossAx val="125441536"/>
        <c:crosses val="autoZero"/>
        <c:crossBetween val="between"/>
      </c:valAx>
      <c:serAx>
        <c:axId val="125435904"/>
        <c:scaling>
          <c:orientation val="minMax"/>
        </c:scaling>
        <c:delete val="1"/>
        <c:axPos val="b"/>
        <c:majorTickMark val="none"/>
        <c:minorTickMark val="none"/>
        <c:tickLblPos val="nextTo"/>
        <c:crossAx val="125443072"/>
        <c:crosses val="autoZero"/>
      </c:serAx>
    </c:plotArea>
    <c:legend>
      <c:legendPos val="r"/>
      <c:layout/>
      <c:overlay val="0"/>
    </c:legend>
    <c:plotVisOnly val="1"/>
    <c:dispBlanksAs val="gap"/>
    <c:showDLblsOverMax val="0"/>
  </c:chart>
  <c:printSettings>
    <c:headerFooter/>
    <c:pageMargins b="0.75" l="0.7" r="0.7" t="0.75" header="0.3" footer="0.3"/>
    <c:pageSetup/>
  </c:printSettings>
</c:chartSpace>
</file>

<file path=xl/charts/chart177.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a:pPr>
            <a:r>
              <a:rPr lang="pt-PT"/>
              <a:t>MTBF - Incinerador1 -</a:t>
            </a:r>
            <a:r>
              <a:rPr lang="pt-PT" baseline="0"/>
              <a:t> Chaminé</a:t>
            </a:r>
          </a:p>
        </c:rich>
      </c:tx>
      <c:layout/>
      <c:overlay val="0"/>
    </c:title>
    <c:autoTitleDeleted val="0"/>
    <c:view3D>
      <c:rotX val="10"/>
      <c:hPercent val="100"/>
      <c:rotY val="70"/>
      <c:depthPercent val="100"/>
      <c:rAngAx val="0"/>
      <c:perspective val="0"/>
    </c:view3D>
    <c:floor>
      <c:thickness val="0"/>
    </c:floor>
    <c:sideWall>
      <c:thickness val="0"/>
    </c:sideWall>
    <c:backWall>
      <c:thickness val="0"/>
    </c:backWall>
    <c:plotArea>
      <c:layout>
        <c:manualLayout>
          <c:layoutTarget val="inner"/>
          <c:xMode val="edge"/>
          <c:yMode val="edge"/>
          <c:x val="7.0883357626873478E-2"/>
          <c:y val="0.23228055962803945"/>
          <c:w val="0.70223214622210628"/>
          <c:h val="0.60242701087055972"/>
        </c:manualLayout>
      </c:layout>
      <c:bar3DChart>
        <c:barDir val="col"/>
        <c:grouping val="standard"/>
        <c:varyColors val="0"/>
        <c:ser>
          <c:idx val="5"/>
          <c:order val="0"/>
          <c:tx>
            <c:v>2010</c:v>
          </c:tx>
          <c:invertIfNegative val="0"/>
          <c:cat>
            <c:numLit>
              <c:formatCode>General</c:formatCode>
              <c:ptCount val="1"/>
              <c:pt idx="0">
                <c:v>2015</c:v>
              </c:pt>
            </c:numLit>
          </c:cat>
          <c:val>
            <c:numLit>
              <c:formatCode>General</c:formatCode>
              <c:ptCount val="1"/>
              <c:pt idx="0">
                <c:v>0</c:v>
              </c:pt>
            </c:numLit>
          </c:val>
        </c:ser>
        <c:ser>
          <c:idx val="4"/>
          <c:order val="1"/>
          <c:tx>
            <c:v>2011</c:v>
          </c:tx>
          <c:invertIfNegative val="0"/>
          <c:dLbls>
            <c:txPr>
              <a:bodyPr rot="0" vert="horz" anchor="t" anchorCtr="0"/>
              <a:lstStyle/>
              <a:p>
                <a:pPr>
                  <a:defRPr/>
                </a:pPr>
                <a:endParaRPr lang="pt-PT"/>
              </a:p>
            </c:txPr>
            <c:showLegendKey val="0"/>
            <c:showVal val="1"/>
            <c:showCatName val="0"/>
            <c:showSerName val="0"/>
            <c:showPercent val="0"/>
            <c:showBubbleSize val="0"/>
            <c:showLeaderLines val="0"/>
          </c:dLbls>
          <c:cat>
            <c:numLit>
              <c:formatCode>General</c:formatCode>
              <c:ptCount val="1"/>
              <c:pt idx="0">
                <c:v>2015</c:v>
              </c:pt>
            </c:numLit>
          </c:cat>
          <c:val>
            <c:numRef>
              <c:f>'2011 - MTBF, MTTF, Exponencial'!$Z$22</c:f>
              <c:numCache>
                <c:formatCode>General</c:formatCode>
                <c:ptCount val="1"/>
                <c:pt idx="0">
                  <c:v>359</c:v>
                </c:pt>
              </c:numCache>
            </c:numRef>
          </c:val>
        </c:ser>
        <c:ser>
          <c:idx val="3"/>
          <c:order val="2"/>
          <c:tx>
            <c:v>2012</c:v>
          </c:tx>
          <c:invertIfNegative val="0"/>
          <c:cat>
            <c:numLit>
              <c:formatCode>General</c:formatCode>
              <c:ptCount val="1"/>
              <c:pt idx="0">
                <c:v>2015</c:v>
              </c:pt>
            </c:numLit>
          </c:cat>
          <c:val>
            <c:numLit>
              <c:formatCode>General</c:formatCode>
              <c:ptCount val="1"/>
              <c:pt idx="0">
                <c:v>0</c:v>
              </c:pt>
            </c:numLit>
          </c:val>
        </c:ser>
        <c:ser>
          <c:idx val="2"/>
          <c:order val="3"/>
          <c:tx>
            <c:v>2013</c:v>
          </c:tx>
          <c:invertIfNegative val="0"/>
          <c:cat>
            <c:numLit>
              <c:formatCode>General</c:formatCode>
              <c:ptCount val="1"/>
              <c:pt idx="0">
                <c:v>2015</c:v>
              </c:pt>
            </c:numLit>
          </c:cat>
          <c:val>
            <c:numLit>
              <c:formatCode>General</c:formatCode>
              <c:ptCount val="1"/>
              <c:pt idx="0">
                <c:v>0</c:v>
              </c:pt>
            </c:numLit>
          </c:val>
        </c:ser>
        <c:ser>
          <c:idx val="1"/>
          <c:order val="4"/>
          <c:tx>
            <c:v>2014</c:v>
          </c:tx>
          <c:invertIfNegative val="0"/>
          <c:cat>
            <c:numLit>
              <c:formatCode>General</c:formatCode>
              <c:ptCount val="1"/>
              <c:pt idx="0">
                <c:v>2015</c:v>
              </c:pt>
            </c:numLit>
          </c:cat>
          <c:val>
            <c:numLit>
              <c:formatCode>General</c:formatCode>
              <c:ptCount val="1"/>
              <c:pt idx="0">
                <c:v>0</c:v>
              </c:pt>
            </c:numLit>
          </c:val>
        </c:ser>
        <c:ser>
          <c:idx val="0"/>
          <c:order val="5"/>
          <c:tx>
            <c:v>2015</c:v>
          </c:tx>
          <c:invertIfNegative val="0"/>
          <c:cat>
            <c:numLit>
              <c:formatCode>General</c:formatCode>
              <c:ptCount val="1"/>
              <c:pt idx="0">
                <c:v>2015</c:v>
              </c:pt>
            </c:numLit>
          </c:cat>
          <c:val>
            <c:numLit>
              <c:formatCode>General</c:formatCode>
              <c:ptCount val="1"/>
              <c:pt idx="0">
                <c:v>0</c:v>
              </c:pt>
            </c:numLit>
          </c:val>
        </c:ser>
        <c:dLbls>
          <c:showLegendKey val="0"/>
          <c:showVal val="1"/>
          <c:showCatName val="0"/>
          <c:showSerName val="0"/>
          <c:showPercent val="0"/>
          <c:showBubbleSize val="0"/>
        </c:dLbls>
        <c:gapWidth val="300"/>
        <c:shape val="box"/>
        <c:axId val="125496704"/>
        <c:axId val="126166144"/>
        <c:axId val="125439488"/>
      </c:bar3DChart>
      <c:catAx>
        <c:axId val="125496704"/>
        <c:scaling>
          <c:orientation val="minMax"/>
        </c:scaling>
        <c:delete val="1"/>
        <c:axPos val="b"/>
        <c:numFmt formatCode="General" sourceLinked="1"/>
        <c:majorTickMark val="none"/>
        <c:minorTickMark val="none"/>
        <c:tickLblPos val="nextTo"/>
        <c:crossAx val="126166144"/>
        <c:crosses val="autoZero"/>
        <c:auto val="1"/>
        <c:lblAlgn val="ctr"/>
        <c:lblOffset val="100"/>
        <c:noMultiLvlLbl val="0"/>
      </c:catAx>
      <c:valAx>
        <c:axId val="126166144"/>
        <c:scaling>
          <c:orientation val="minMax"/>
        </c:scaling>
        <c:delete val="0"/>
        <c:axPos val="l"/>
        <c:majorGridlines/>
        <c:minorGridlines/>
        <c:numFmt formatCode="General" sourceLinked="1"/>
        <c:majorTickMark val="out"/>
        <c:minorTickMark val="none"/>
        <c:tickLblPos val="nextTo"/>
        <c:crossAx val="125496704"/>
        <c:crosses val="autoZero"/>
        <c:crossBetween val="between"/>
      </c:valAx>
      <c:serAx>
        <c:axId val="125439488"/>
        <c:scaling>
          <c:orientation val="minMax"/>
        </c:scaling>
        <c:delete val="1"/>
        <c:axPos val="b"/>
        <c:majorTickMark val="none"/>
        <c:minorTickMark val="none"/>
        <c:tickLblPos val="nextTo"/>
        <c:crossAx val="126166144"/>
        <c:crosses val="autoZero"/>
      </c:serAx>
    </c:plotArea>
    <c:legend>
      <c:legendPos val="r"/>
      <c:layout/>
      <c:overlay val="0"/>
    </c:legend>
    <c:plotVisOnly val="1"/>
    <c:dispBlanksAs val="gap"/>
    <c:showDLblsOverMax val="0"/>
  </c:chart>
  <c:printSettings>
    <c:headerFooter/>
    <c:pageMargins b="0.75" l="0.7" r="0.7" t="0.75" header="0.3" footer="0.3"/>
    <c:pageSetup/>
  </c:printSettings>
</c:chartSpace>
</file>

<file path=xl/charts/chart178.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a:pPr>
            <a:r>
              <a:rPr lang="pt-PT"/>
              <a:t>MTBF - Incinerador1 - Secador</a:t>
            </a:r>
            <a:endParaRPr lang="pt-PT" baseline="0"/>
          </a:p>
        </c:rich>
      </c:tx>
      <c:layout/>
      <c:overlay val="0"/>
    </c:title>
    <c:autoTitleDeleted val="0"/>
    <c:view3D>
      <c:rotX val="10"/>
      <c:hPercent val="100"/>
      <c:rotY val="70"/>
      <c:depthPercent val="100"/>
      <c:rAngAx val="0"/>
      <c:perspective val="0"/>
    </c:view3D>
    <c:floor>
      <c:thickness val="0"/>
    </c:floor>
    <c:sideWall>
      <c:thickness val="0"/>
    </c:sideWall>
    <c:backWall>
      <c:thickness val="0"/>
    </c:backWall>
    <c:plotArea>
      <c:layout>
        <c:manualLayout>
          <c:layoutTarget val="inner"/>
          <c:xMode val="edge"/>
          <c:yMode val="edge"/>
          <c:x val="7.0883357626873478E-2"/>
          <c:y val="0.23228055962803945"/>
          <c:w val="0.70223214622210628"/>
          <c:h val="0.60242701087055972"/>
        </c:manualLayout>
      </c:layout>
      <c:bar3DChart>
        <c:barDir val="col"/>
        <c:grouping val="standard"/>
        <c:varyColors val="0"/>
        <c:ser>
          <c:idx val="5"/>
          <c:order val="0"/>
          <c:tx>
            <c:v>2010</c:v>
          </c:tx>
          <c:invertIfNegative val="0"/>
          <c:cat>
            <c:numLit>
              <c:formatCode>General</c:formatCode>
              <c:ptCount val="1"/>
              <c:pt idx="0">
                <c:v>2015</c:v>
              </c:pt>
            </c:numLit>
          </c:cat>
          <c:val>
            <c:numLit>
              <c:formatCode>General</c:formatCode>
              <c:ptCount val="1"/>
              <c:pt idx="0">
                <c:v>0</c:v>
              </c:pt>
            </c:numLit>
          </c:val>
        </c:ser>
        <c:ser>
          <c:idx val="4"/>
          <c:order val="1"/>
          <c:tx>
            <c:v>2011</c:v>
          </c:tx>
          <c:invertIfNegative val="0"/>
          <c:dLbls>
            <c:txPr>
              <a:bodyPr rot="0" vert="horz" anchor="t" anchorCtr="0"/>
              <a:lstStyle/>
              <a:p>
                <a:pPr>
                  <a:defRPr/>
                </a:pPr>
                <a:endParaRPr lang="pt-PT"/>
              </a:p>
            </c:txPr>
            <c:showLegendKey val="0"/>
            <c:showVal val="1"/>
            <c:showCatName val="0"/>
            <c:showSerName val="0"/>
            <c:showPercent val="0"/>
            <c:showBubbleSize val="0"/>
            <c:showLeaderLines val="0"/>
          </c:dLbls>
          <c:cat>
            <c:numLit>
              <c:formatCode>General</c:formatCode>
              <c:ptCount val="1"/>
              <c:pt idx="0">
                <c:v>2015</c:v>
              </c:pt>
            </c:numLit>
          </c:cat>
          <c:val>
            <c:numRef>
              <c:f>'2011 - MTBF, MTTF, Exponencial'!$Z$20</c:f>
              <c:numCache>
                <c:formatCode>General</c:formatCode>
                <c:ptCount val="1"/>
                <c:pt idx="0">
                  <c:v>350</c:v>
                </c:pt>
              </c:numCache>
            </c:numRef>
          </c:val>
        </c:ser>
        <c:ser>
          <c:idx val="3"/>
          <c:order val="2"/>
          <c:tx>
            <c:v>2012</c:v>
          </c:tx>
          <c:invertIfNegative val="0"/>
          <c:cat>
            <c:numLit>
              <c:formatCode>General</c:formatCode>
              <c:ptCount val="1"/>
              <c:pt idx="0">
                <c:v>2015</c:v>
              </c:pt>
            </c:numLit>
          </c:cat>
          <c:val>
            <c:numLit>
              <c:formatCode>General</c:formatCode>
              <c:ptCount val="1"/>
              <c:pt idx="0">
                <c:v>0</c:v>
              </c:pt>
            </c:numLit>
          </c:val>
        </c:ser>
        <c:ser>
          <c:idx val="2"/>
          <c:order val="3"/>
          <c:tx>
            <c:v>2013</c:v>
          </c:tx>
          <c:invertIfNegative val="0"/>
          <c:cat>
            <c:numLit>
              <c:formatCode>General</c:formatCode>
              <c:ptCount val="1"/>
              <c:pt idx="0">
                <c:v>2015</c:v>
              </c:pt>
            </c:numLit>
          </c:cat>
          <c:val>
            <c:numLit>
              <c:formatCode>General</c:formatCode>
              <c:ptCount val="1"/>
              <c:pt idx="0">
                <c:v>0</c:v>
              </c:pt>
            </c:numLit>
          </c:val>
        </c:ser>
        <c:ser>
          <c:idx val="1"/>
          <c:order val="4"/>
          <c:tx>
            <c:v>2014</c:v>
          </c:tx>
          <c:invertIfNegative val="0"/>
          <c:cat>
            <c:numLit>
              <c:formatCode>General</c:formatCode>
              <c:ptCount val="1"/>
              <c:pt idx="0">
                <c:v>2015</c:v>
              </c:pt>
            </c:numLit>
          </c:cat>
          <c:val>
            <c:numLit>
              <c:formatCode>General</c:formatCode>
              <c:ptCount val="1"/>
              <c:pt idx="0">
                <c:v>0</c:v>
              </c:pt>
            </c:numLit>
          </c:val>
        </c:ser>
        <c:ser>
          <c:idx val="0"/>
          <c:order val="5"/>
          <c:tx>
            <c:v>2015</c:v>
          </c:tx>
          <c:invertIfNegative val="0"/>
          <c:cat>
            <c:numLit>
              <c:formatCode>General</c:formatCode>
              <c:ptCount val="1"/>
              <c:pt idx="0">
                <c:v>2015</c:v>
              </c:pt>
            </c:numLit>
          </c:cat>
          <c:val>
            <c:numLit>
              <c:formatCode>General</c:formatCode>
              <c:ptCount val="1"/>
              <c:pt idx="0">
                <c:v>0</c:v>
              </c:pt>
            </c:numLit>
          </c:val>
        </c:ser>
        <c:dLbls>
          <c:showLegendKey val="0"/>
          <c:showVal val="1"/>
          <c:showCatName val="0"/>
          <c:showSerName val="0"/>
          <c:showPercent val="0"/>
          <c:showBubbleSize val="0"/>
        </c:dLbls>
        <c:gapWidth val="300"/>
        <c:shape val="box"/>
        <c:axId val="126211584"/>
        <c:axId val="126213120"/>
        <c:axId val="126164032"/>
      </c:bar3DChart>
      <c:catAx>
        <c:axId val="126211584"/>
        <c:scaling>
          <c:orientation val="minMax"/>
        </c:scaling>
        <c:delete val="1"/>
        <c:axPos val="b"/>
        <c:numFmt formatCode="General" sourceLinked="1"/>
        <c:majorTickMark val="none"/>
        <c:minorTickMark val="none"/>
        <c:tickLblPos val="nextTo"/>
        <c:crossAx val="126213120"/>
        <c:crosses val="autoZero"/>
        <c:auto val="1"/>
        <c:lblAlgn val="ctr"/>
        <c:lblOffset val="100"/>
        <c:noMultiLvlLbl val="0"/>
      </c:catAx>
      <c:valAx>
        <c:axId val="126213120"/>
        <c:scaling>
          <c:orientation val="minMax"/>
        </c:scaling>
        <c:delete val="0"/>
        <c:axPos val="l"/>
        <c:majorGridlines/>
        <c:minorGridlines/>
        <c:numFmt formatCode="General" sourceLinked="1"/>
        <c:majorTickMark val="out"/>
        <c:minorTickMark val="none"/>
        <c:tickLblPos val="nextTo"/>
        <c:crossAx val="126211584"/>
        <c:crosses val="autoZero"/>
        <c:crossBetween val="between"/>
      </c:valAx>
      <c:serAx>
        <c:axId val="126164032"/>
        <c:scaling>
          <c:orientation val="minMax"/>
        </c:scaling>
        <c:delete val="1"/>
        <c:axPos val="b"/>
        <c:majorTickMark val="none"/>
        <c:minorTickMark val="none"/>
        <c:tickLblPos val="nextTo"/>
        <c:crossAx val="126213120"/>
        <c:crosses val="autoZero"/>
      </c:serAx>
    </c:plotArea>
    <c:legend>
      <c:legendPos val="r"/>
      <c:layout/>
      <c:overlay val="0"/>
    </c:legend>
    <c:plotVisOnly val="1"/>
    <c:dispBlanksAs val="gap"/>
    <c:showDLblsOverMax val="0"/>
  </c:chart>
  <c:printSettings>
    <c:headerFooter/>
    <c:pageMargins b="0.75" l="0.7" r="0.7" t="0.75" header="0.3" footer="0.3"/>
    <c:pageSetup/>
  </c:printSettings>
</c:chartSpace>
</file>

<file path=xl/charts/chart179.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a:pPr>
            <a:r>
              <a:rPr lang="pt-PT" sz="1800" b="1" i="0" baseline="0">
                <a:effectLst/>
              </a:rPr>
              <a:t>MTBF - Incinerador2 - Alimentação</a:t>
            </a:r>
            <a:endParaRPr lang="pt-PT">
              <a:effectLst/>
            </a:endParaRPr>
          </a:p>
        </c:rich>
      </c:tx>
      <c:layout/>
      <c:overlay val="0"/>
    </c:title>
    <c:autoTitleDeleted val="0"/>
    <c:view3D>
      <c:rotX val="10"/>
      <c:hPercent val="100"/>
      <c:rotY val="70"/>
      <c:depthPercent val="100"/>
      <c:rAngAx val="0"/>
      <c:perspective val="0"/>
    </c:view3D>
    <c:floor>
      <c:thickness val="0"/>
    </c:floor>
    <c:sideWall>
      <c:thickness val="0"/>
    </c:sideWall>
    <c:backWall>
      <c:thickness val="0"/>
    </c:backWall>
    <c:plotArea>
      <c:layout>
        <c:manualLayout>
          <c:layoutTarget val="inner"/>
          <c:xMode val="edge"/>
          <c:yMode val="edge"/>
          <c:x val="7.0883357626873478E-2"/>
          <c:y val="0.23228055962803945"/>
          <c:w val="0.70223214622210628"/>
          <c:h val="0.60242701087055972"/>
        </c:manualLayout>
      </c:layout>
      <c:bar3DChart>
        <c:barDir val="col"/>
        <c:grouping val="standard"/>
        <c:varyColors val="0"/>
        <c:ser>
          <c:idx val="5"/>
          <c:order val="0"/>
          <c:tx>
            <c:v>2010</c:v>
          </c:tx>
          <c:invertIfNegative val="0"/>
          <c:cat>
            <c:numLit>
              <c:formatCode>General</c:formatCode>
              <c:ptCount val="1"/>
              <c:pt idx="0">
                <c:v>2015</c:v>
              </c:pt>
            </c:numLit>
          </c:cat>
          <c:val>
            <c:numRef>
              <c:f>'2010 - MTBF, MTTF, Exponencial'!$Z$15</c:f>
              <c:numCache>
                <c:formatCode>General</c:formatCode>
                <c:ptCount val="1"/>
              </c:numCache>
            </c:numRef>
          </c:val>
        </c:ser>
        <c:ser>
          <c:idx val="4"/>
          <c:order val="1"/>
          <c:tx>
            <c:v>2011</c:v>
          </c:tx>
          <c:invertIfNegative val="0"/>
          <c:dLbls>
            <c:txPr>
              <a:bodyPr rot="0" vert="horz" anchor="t" anchorCtr="0"/>
              <a:lstStyle/>
              <a:p>
                <a:pPr>
                  <a:defRPr/>
                </a:pPr>
                <a:endParaRPr lang="pt-PT"/>
              </a:p>
            </c:txPr>
            <c:showLegendKey val="0"/>
            <c:showVal val="1"/>
            <c:showCatName val="0"/>
            <c:showSerName val="0"/>
            <c:showPercent val="0"/>
            <c:showBubbleSize val="0"/>
            <c:showLeaderLines val="0"/>
          </c:dLbls>
          <c:cat>
            <c:numLit>
              <c:formatCode>General</c:formatCode>
              <c:ptCount val="1"/>
              <c:pt idx="0">
                <c:v>2015</c:v>
              </c:pt>
            </c:numLit>
          </c:cat>
          <c:val>
            <c:numRef>
              <c:f>'2011 - MTBF, MTTF, Exponencial'!$Z$31</c:f>
              <c:numCache>
                <c:formatCode>General</c:formatCode>
                <c:ptCount val="1"/>
                <c:pt idx="0">
                  <c:v>44</c:v>
                </c:pt>
              </c:numCache>
            </c:numRef>
          </c:val>
        </c:ser>
        <c:ser>
          <c:idx val="3"/>
          <c:order val="2"/>
          <c:tx>
            <c:v>2012</c:v>
          </c:tx>
          <c:invertIfNegative val="0"/>
          <c:cat>
            <c:numLit>
              <c:formatCode>General</c:formatCode>
              <c:ptCount val="1"/>
              <c:pt idx="0">
                <c:v>2015</c:v>
              </c:pt>
            </c:numLit>
          </c:cat>
          <c:val>
            <c:numRef>
              <c:f>'2012 - MTBF, MTTF, Exponencial'!$Z$24</c:f>
              <c:numCache>
                <c:formatCode>General</c:formatCode>
                <c:ptCount val="1"/>
                <c:pt idx="0">
                  <c:v>35</c:v>
                </c:pt>
              </c:numCache>
            </c:numRef>
          </c:val>
        </c:ser>
        <c:ser>
          <c:idx val="2"/>
          <c:order val="3"/>
          <c:tx>
            <c:v>2013</c:v>
          </c:tx>
          <c:invertIfNegative val="0"/>
          <c:cat>
            <c:numLit>
              <c:formatCode>General</c:formatCode>
              <c:ptCount val="1"/>
              <c:pt idx="0">
                <c:v>2015</c:v>
              </c:pt>
            </c:numLit>
          </c:cat>
          <c:val>
            <c:numRef>
              <c:f>'2013 - MTBF, MTTF, Exponencial'!$Z$13</c:f>
              <c:numCache>
                <c:formatCode>General</c:formatCode>
                <c:ptCount val="1"/>
                <c:pt idx="0">
                  <c:v>359</c:v>
                </c:pt>
              </c:numCache>
            </c:numRef>
          </c:val>
        </c:ser>
        <c:ser>
          <c:idx val="1"/>
          <c:order val="4"/>
          <c:tx>
            <c:v>2014</c:v>
          </c:tx>
          <c:invertIfNegative val="0"/>
          <c:cat>
            <c:numLit>
              <c:formatCode>General</c:formatCode>
              <c:ptCount val="1"/>
              <c:pt idx="0">
                <c:v>2015</c:v>
              </c:pt>
            </c:numLit>
          </c:cat>
          <c:val>
            <c:numRef>
              <c:f>'2014 - MTBF, MTTF, Exp, Weibull'!#REF!</c:f>
              <c:numCache>
                <c:formatCode>General</c:formatCode>
                <c:ptCount val="1"/>
                <c:pt idx="0">
                  <c:v>1</c:v>
                </c:pt>
              </c:numCache>
            </c:numRef>
          </c:val>
        </c:ser>
        <c:ser>
          <c:idx val="0"/>
          <c:order val="5"/>
          <c:tx>
            <c:v>2015</c:v>
          </c:tx>
          <c:invertIfNegative val="0"/>
          <c:cat>
            <c:numLit>
              <c:formatCode>General</c:formatCode>
              <c:ptCount val="1"/>
              <c:pt idx="0">
                <c:v>2015</c:v>
              </c:pt>
            </c:numLit>
          </c:cat>
          <c:val>
            <c:numRef>
              <c:f>'2015 - MTBF, MTTF, Exponencial'!$Z$19</c:f>
              <c:numCache>
                <c:formatCode>General</c:formatCode>
                <c:ptCount val="1"/>
                <c:pt idx="0">
                  <c:v>89</c:v>
                </c:pt>
              </c:numCache>
            </c:numRef>
          </c:val>
        </c:ser>
        <c:dLbls>
          <c:showLegendKey val="0"/>
          <c:showVal val="1"/>
          <c:showCatName val="0"/>
          <c:showSerName val="0"/>
          <c:showPercent val="0"/>
          <c:showBubbleSize val="0"/>
        </c:dLbls>
        <c:gapWidth val="300"/>
        <c:shape val="box"/>
        <c:axId val="126258560"/>
        <c:axId val="126559360"/>
        <c:axId val="126216832"/>
      </c:bar3DChart>
      <c:catAx>
        <c:axId val="126258560"/>
        <c:scaling>
          <c:orientation val="minMax"/>
        </c:scaling>
        <c:delete val="1"/>
        <c:axPos val="b"/>
        <c:numFmt formatCode="General" sourceLinked="1"/>
        <c:majorTickMark val="none"/>
        <c:minorTickMark val="none"/>
        <c:tickLblPos val="nextTo"/>
        <c:crossAx val="126559360"/>
        <c:crosses val="autoZero"/>
        <c:auto val="1"/>
        <c:lblAlgn val="ctr"/>
        <c:lblOffset val="100"/>
        <c:noMultiLvlLbl val="0"/>
      </c:catAx>
      <c:valAx>
        <c:axId val="126559360"/>
        <c:scaling>
          <c:orientation val="minMax"/>
        </c:scaling>
        <c:delete val="0"/>
        <c:axPos val="l"/>
        <c:majorGridlines/>
        <c:minorGridlines/>
        <c:numFmt formatCode="General" sourceLinked="1"/>
        <c:majorTickMark val="out"/>
        <c:minorTickMark val="none"/>
        <c:tickLblPos val="nextTo"/>
        <c:crossAx val="126258560"/>
        <c:crosses val="autoZero"/>
        <c:crossBetween val="between"/>
      </c:valAx>
      <c:serAx>
        <c:axId val="126216832"/>
        <c:scaling>
          <c:orientation val="minMax"/>
        </c:scaling>
        <c:delete val="1"/>
        <c:axPos val="b"/>
        <c:majorTickMark val="none"/>
        <c:minorTickMark val="none"/>
        <c:tickLblPos val="nextTo"/>
        <c:crossAx val="126559360"/>
        <c:crosses val="autoZero"/>
      </c:serAx>
    </c:plotArea>
    <c:legend>
      <c:legendPos val="r"/>
      <c:layout/>
      <c:overlay val="0"/>
    </c:legend>
    <c:plotVisOnly val="1"/>
    <c:dispBlanksAs val="gap"/>
    <c:showDLblsOverMax val="0"/>
  </c:chart>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Total de avarias Combustivel fossil 31</c:v>
          </c:tx>
          <c:invertIfNegative val="0"/>
          <c:dLbls>
            <c:numFmt formatCode="#,##0;\-#,##0" sourceLinked="0"/>
            <c:txPr>
              <a:bodyPr/>
              <a:lstStyle/>
              <a:p>
                <a:pPr>
                  <a:defRPr b="1"/>
                </a:pPr>
                <a:endParaRPr lang="pt-PT"/>
              </a:p>
            </c:txPr>
            <c:showLegendKey val="0"/>
            <c:showVal val="1"/>
            <c:showCatName val="0"/>
            <c:showSerName val="0"/>
            <c:showPercent val="0"/>
            <c:showBubbleSize val="0"/>
            <c:showLeaderLines val="0"/>
          </c:dLbls>
          <c:cat>
            <c:numRef>
              <c:f>'2014 - Gráficos'!$F$6:$F$7</c:f>
              <c:numCache>
                <c:formatCode>General</c:formatCode>
                <c:ptCount val="2"/>
                <c:pt idx="0">
                  <c:v>109</c:v>
                </c:pt>
                <c:pt idx="1">
                  <c:v>334</c:v>
                </c:pt>
              </c:numCache>
            </c:numRef>
          </c:cat>
          <c:val>
            <c:numRef>
              <c:f>'2014 - Gráficos'!$G$6:$G$7</c:f>
              <c:numCache>
                <c:formatCode>0</c:formatCode>
                <c:ptCount val="2"/>
                <c:pt idx="0">
                  <c:v>1</c:v>
                </c:pt>
                <c:pt idx="1">
                  <c:v>1</c:v>
                </c:pt>
              </c:numCache>
            </c:numRef>
          </c:val>
        </c:ser>
        <c:dLbls>
          <c:showLegendKey val="0"/>
          <c:showVal val="0"/>
          <c:showCatName val="0"/>
          <c:showSerName val="0"/>
          <c:showPercent val="0"/>
          <c:showBubbleSize val="0"/>
        </c:dLbls>
        <c:gapWidth val="300"/>
        <c:axId val="107204992"/>
        <c:axId val="107206528"/>
      </c:barChart>
      <c:catAx>
        <c:axId val="107204992"/>
        <c:scaling>
          <c:orientation val="minMax"/>
        </c:scaling>
        <c:delete val="0"/>
        <c:axPos val="b"/>
        <c:numFmt formatCode="General" sourceLinked="1"/>
        <c:majorTickMark val="none"/>
        <c:minorTickMark val="none"/>
        <c:tickLblPos val="nextTo"/>
        <c:crossAx val="107206528"/>
        <c:crosses val="autoZero"/>
        <c:auto val="1"/>
        <c:lblAlgn val="ctr"/>
        <c:lblOffset val="100"/>
        <c:noMultiLvlLbl val="0"/>
      </c:catAx>
      <c:valAx>
        <c:axId val="107206528"/>
        <c:scaling>
          <c:orientation val="minMax"/>
        </c:scaling>
        <c:delete val="0"/>
        <c:axPos val="l"/>
        <c:majorGridlines/>
        <c:minorGridlines/>
        <c:numFmt formatCode="0" sourceLinked="1"/>
        <c:majorTickMark val="out"/>
        <c:minorTickMark val="none"/>
        <c:tickLblPos val="nextTo"/>
        <c:crossAx val="107204992"/>
        <c:crosses val="autoZero"/>
        <c:crossBetween val="between"/>
      </c:valAx>
    </c:plotArea>
    <c:legend>
      <c:legendPos val="r"/>
      <c:layout/>
      <c:overlay val="0"/>
    </c:legend>
    <c:plotVisOnly val="1"/>
    <c:dispBlanksAs val="gap"/>
    <c:showDLblsOverMax val="0"/>
  </c:chart>
  <c:printSettings>
    <c:headerFooter/>
    <c:pageMargins b="0.75" l="0.7" r="0.7" t="0.75" header="0.3" footer="0.3"/>
    <c:pageSetup/>
  </c:printSettings>
</c:chartSpace>
</file>

<file path=xl/charts/chart180.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a:pPr>
            <a:r>
              <a:rPr lang="pt-PT"/>
              <a:t>MTBF - </a:t>
            </a:r>
            <a:r>
              <a:rPr lang="pt-PT" sz="1800" b="1" i="0" u="none" strike="noStrike" baseline="0">
                <a:effectLst/>
              </a:rPr>
              <a:t>Incinerador</a:t>
            </a:r>
            <a:r>
              <a:rPr lang="pt-PT"/>
              <a:t>2 -</a:t>
            </a:r>
            <a:r>
              <a:rPr lang="pt-PT" baseline="0"/>
              <a:t> Chaminé</a:t>
            </a:r>
          </a:p>
        </c:rich>
      </c:tx>
      <c:layout/>
      <c:overlay val="0"/>
    </c:title>
    <c:autoTitleDeleted val="0"/>
    <c:view3D>
      <c:rotX val="10"/>
      <c:hPercent val="100"/>
      <c:rotY val="70"/>
      <c:depthPercent val="100"/>
      <c:rAngAx val="0"/>
      <c:perspective val="0"/>
    </c:view3D>
    <c:floor>
      <c:thickness val="0"/>
    </c:floor>
    <c:sideWall>
      <c:thickness val="0"/>
    </c:sideWall>
    <c:backWall>
      <c:thickness val="0"/>
    </c:backWall>
    <c:plotArea>
      <c:layout>
        <c:manualLayout>
          <c:layoutTarget val="inner"/>
          <c:xMode val="edge"/>
          <c:yMode val="edge"/>
          <c:x val="7.0883357626873478E-2"/>
          <c:y val="0.23228055962803945"/>
          <c:w val="0.70223214622210628"/>
          <c:h val="0.60242701087055972"/>
        </c:manualLayout>
      </c:layout>
      <c:bar3DChart>
        <c:barDir val="col"/>
        <c:grouping val="standard"/>
        <c:varyColors val="0"/>
        <c:ser>
          <c:idx val="5"/>
          <c:order val="0"/>
          <c:tx>
            <c:v>2010</c:v>
          </c:tx>
          <c:invertIfNegative val="0"/>
          <c:cat>
            <c:numLit>
              <c:formatCode>General</c:formatCode>
              <c:ptCount val="1"/>
              <c:pt idx="0">
                <c:v>2015</c:v>
              </c:pt>
            </c:numLit>
          </c:cat>
          <c:val>
            <c:numRef>
              <c:f>'2010 - MTBF, MTTF, Exponencial'!$Z$18</c:f>
              <c:numCache>
                <c:formatCode>General</c:formatCode>
                <c:ptCount val="1"/>
              </c:numCache>
            </c:numRef>
          </c:val>
        </c:ser>
        <c:ser>
          <c:idx val="4"/>
          <c:order val="1"/>
          <c:tx>
            <c:v>2011</c:v>
          </c:tx>
          <c:invertIfNegative val="0"/>
          <c:dLbls>
            <c:txPr>
              <a:bodyPr rot="0" vert="horz" anchor="t" anchorCtr="0"/>
              <a:lstStyle/>
              <a:p>
                <a:pPr>
                  <a:defRPr/>
                </a:pPr>
                <a:endParaRPr lang="pt-PT"/>
              </a:p>
            </c:txPr>
            <c:showLegendKey val="0"/>
            <c:showVal val="1"/>
            <c:showCatName val="0"/>
            <c:showSerName val="0"/>
            <c:showPercent val="0"/>
            <c:showBubbleSize val="0"/>
            <c:showLeaderLines val="0"/>
          </c:dLbls>
          <c:cat>
            <c:numLit>
              <c:formatCode>General</c:formatCode>
              <c:ptCount val="1"/>
              <c:pt idx="0">
                <c:v>2015</c:v>
              </c:pt>
            </c:numLit>
          </c:cat>
          <c:val>
            <c:numLit>
              <c:formatCode>General</c:formatCode>
              <c:ptCount val="1"/>
              <c:pt idx="0">
                <c:v>0</c:v>
              </c:pt>
            </c:numLit>
          </c:val>
        </c:ser>
        <c:ser>
          <c:idx val="3"/>
          <c:order val="2"/>
          <c:tx>
            <c:v>2012</c:v>
          </c:tx>
          <c:invertIfNegative val="0"/>
          <c:cat>
            <c:numLit>
              <c:formatCode>General</c:formatCode>
              <c:ptCount val="1"/>
              <c:pt idx="0">
                <c:v>2015</c:v>
              </c:pt>
            </c:numLit>
          </c:cat>
          <c:val>
            <c:numRef>
              <c:f>'2012 - MTBF, MTTF, Exponencial'!$Z$28</c:f>
              <c:numCache>
                <c:formatCode>General</c:formatCode>
                <c:ptCount val="1"/>
                <c:pt idx="0">
                  <c:v>119</c:v>
                </c:pt>
              </c:numCache>
            </c:numRef>
          </c:val>
        </c:ser>
        <c:ser>
          <c:idx val="2"/>
          <c:order val="3"/>
          <c:tx>
            <c:v>2013</c:v>
          </c:tx>
          <c:invertIfNegative val="0"/>
          <c:cat>
            <c:numLit>
              <c:formatCode>General</c:formatCode>
              <c:ptCount val="1"/>
              <c:pt idx="0">
                <c:v>2015</c:v>
              </c:pt>
            </c:numLit>
          </c:cat>
          <c:val>
            <c:numRef>
              <c:f>'2013 - MTBF, MTTF, Exponencial'!$Z$15</c:f>
              <c:numCache>
                <c:formatCode>General</c:formatCode>
                <c:ptCount val="1"/>
                <c:pt idx="0">
                  <c:v>359</c:v>
                </c:pt>
              </c:numCache>
            </c:numRef>
          </c:val>
        </c:ser>
        <c:ser>
          <c:idx val="1"/>
          <c:order val="4"/>
          <c:tx>
            <c:v>2014</c:v>
          </c:tx>
          <c:invertIfNegative val="0"/>
          <c:cat>
            <c:numLit>
              <c:formatCode>General</c:formatCode>
              <c:ptCount val="1"/>
              <c:pt idx="0">
                <c:v>2015</c:v>
              </c:pt>
            </c:numLit>
          </c:cat>
          <c:val>
            <c:numRef>
              <c:f>'2014 - MTBF, MTTF, Exp, Weibull'!#REF!</c:f>
              <c:numCache>
                <c:formatCode>General</c:formatCode>
                <c:ptCount val="1"/>
                <c:pt idx="0">
                  <c:v>1</c:v>
                </c:pt>
              </c:numCache>
            </c:numRef>
          </c:val>
        </c:ser>
        <c:ser>
          <c:idx val="0"/>
          <c:order val="5"/>
          <c:tx>
            <c:v>2015</c:v>
          </c:tx>
          <c:invertIfNegative val="0"/>
          <c:cat>
            <c:numLit>
              <c:formatCode>General</c:formatCode>
              <c:ptCount val="1"/>
              <c:pt idx="0">
                <c:v>2015</c:v>
              </c:pt>
            </c:numLit>
          </c:cat>
          <c:val>
            <c:numLit>
              <c:formatCode>General</c:formatCode>
              <c:ptCount val="1"/>
              <c:pt idx="0">
                <c:v>0</c:v>
              </c:pt>
            </c:numLit>
          </c:val>
        </c:ser>
        <c:dLbls>
          <c:showLegendKey val="0"/>
          <c:showVal val="1"/>
          <c:showCatName val="0"/>
          <c:showSerName val="0"/>
          <c:showPercent val="0"/>
          <c:showBubbleSize val="0"/>
        </c:dLbls>
        <c:gapWidth val="300"/>
        <c:shape val="box"/>
        <c:axId val="126612992"/>
        <c:axId val="126614528"/>
        <c:axId val="126286016"/>
      </c:bar3DChart>
      <c:catAx>
        <c:axId val="126612992"/>
        <c:scaling>
          <c:orientation val="minMax"/>
        </c:scaling>
        <c:delete val="1"/>
        <c:axPos val="b"/>
        <c:numFmt formatCode="General" sourceLinked="1"/>
        <c:majorTickMark val="none"/>
        <c:minorTickMark val="none"/>
        <c:tickLblPos val="nextTo"/>
        <c:crossAx val="126614528"/>
        <c:crosses val="autoZero"/>
        <c:auto val="1"/>
        <c:lblAlgn val="ctr"/>
        <c:lblOffset val="100"/>
        <c:noMultiLvlLbl val="0"/>
      </c:catAx>
      <c:valAx>
        <c:axId val="126614528"/>
        <c:scaling>
          <c:orientation val="minMax"/>
        </c:scaling>
        <c:delete val="0"/>
        <c:axPos val="l"/>
        <c:majorGridlines/>
        <c:minorGridlines/>
        <c:numFmt formatCode="General" sourceLinked="1"/>
        <c:majorTickMark val="out"/>
        <c:minorTickMark val="none"/>
        <c:tickLblPos val="nextTo"/>
        <c:crossAx val="126612992"/>
        <c:crosses val="autoZero"/>
        <c:crossBetween val="between"/>
      </c:valAx>
      <c:serAx>
        <c:axId val="126286016"/>
        <c:scaling>
          <c:orientation val="minMax"/>
        </c:scaling>
        <c:delete val="1"/>
        <c:axPos val="b"/>
        <c:majorTickMark val="none"/>
        <c:minorTickMark val="none"/>
        <c:tickLblPos val="nextTo"/>
        <c:crossAx val="126614528"/>
        <c:crosses val="autoZero"/>
      </c:serAx>
    </c:plotArea>
    <c:legend>
      <c:legendPos val="r"/>
      <c:layout/>
      <c:overlay val="0"/>
    </c:legend>
    <c:plotVisOnly val="1"/>
    <c:dispBlanksAs val="gap"/>
    <c:showDLblsOverMax val="0"/>
  </c:chart>
  <c:printSettings>
    <c:headerFooter/>
    <c:pageMargins b="0.75" l="0.7" r="0.7" t="0.75" header="0.3" footer="0.3"/>
    <c:pageSetup/>
  </c:printSettings>
</c:chartSpace>
</file>

<file path=xl/charts/chart181.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a:pPr>
            <a:r>
              <a:rPr lang="pt-PT"/>
              <a:t>MTBF - </a:t>
            </a:r>
            <a:r>
              <a:rPr lang="pt-PT" sz="1800" b="1" i="0" u="none" strike="noStrike" baseline="0">
                <a:effectLst/>
              </a:rPr>
              <a:t>Incinerador2 - Secador</a:t>
            </a:r>
            <a:endParaRPr lang="pt-PT" baseline="0"/>
          </a:p>
        </c:rich>
      </c:tx>
      <c:layout/>
      <c:overlay val="0"/>
    </c:title>
    <c:autoTitleDeleted val="0"/>
    <c:view3D>
      <c:rotX val="10"/>
      <c:hPercent val="100"/>
      <c:rotY val="70"/>
      <c:depthPercent val="100"/>
      <c:rAngAx val="0"/>
      <c:perspective val="0"/>
    </c:view3D>
    <c:floor>
      <c:thickness val="0"/>
    </c:floor>
    <c:sideWall>
      <c:thickness val="0"/>
    </c:sideWall>
    <c:backWall>
      <c:thickness val="0"/>
    </c:backWall>
    <c:plotArea>
      <c:layout>
        <c:manualLayout>
          <c:layoutTarget val="inner"/>
          <c:xMode val="edge"/>
          <c:yMode val="edge"/>
          <c:x val="7.0883357626873478E-2"/>
          <c:y val="0.23228055962803945"/>
          <c:w val="0.70223214622210628"/>
          <c:h val="0.60242701087055972"/>
        </c:manualLayout>
      </c:layout>
      <c:bar3DChart>
        <c:barDir val="col"/>
        <c:grouping val="standard"/>
        <c:varyColors val="0"/>
        <c:ser>
          <c:idx val="5"/>
          <c:order val="0"/>
          <c:tx>
            <c:v>2010</c:v>
          </c:tx>
          <c:invertIfNegative val="0"/>
          <c:cat>
            <c:numLit>
              <c:formatCode>General</c:formatCode>
              <c:ptCount val="1"/>
              <c:pt idx="0">
                <c:v>2015</c:v>
              </c:pt>
            </c:numLit>
          </c:cat>
          <c:val>
            <c:numLit>
              <c:formatCode>General</c:formatCode>
              <c:ptCount val="1"/>
              <c:pt idx="0">
                <c:v>0</c:v>
              </c:pt>
            </c:numLit>
          </c:val>
        </c:ser>
        <c:ser>
          <c:idx val="4"/>
          <c:order val="1"/>
          <c:tx>
            <c:v>2011</c:v>
          </c:tx>
          <c:invertIfNegative val="0"/>
          <c:dLbls>
            <c:txPr>
              <a:bodyPr rot="0" vert="horz" anchor="t" anchorCtr="0"/>
              <a:lstStyle/>
              <a:p>
                <a:pPr>
                  <a:defRPr/>
                </a:pPr>
                <a:endParaRPr lang="pt-PT"/>
              </a:p>
            </c:txPr>
            <c:showLegendKey val="0"/>
            <c:showVal val="1"/>
            <c:showCatName val="0"/>
            <c:showSerName val="0"/>
            <c:showPercent val="0"/>
            <c:showBubbleSize val="0"/>
            <c:showLeaderLines val="0"/>
          </c:dLbls>
          <c:cat>
            <c:numLit>
              <c:formatCode>General</c:formatCode>
              <c:ptCount val="1"/>
              <c:pt idx="0">
                <c:v>2015</c:v>
              </c:pt>
            </c:numLit>
          </c:cat>
          <c:val>
            <c:numLit>
              <c:formatCode>General</c:formatCode>
              <c:ptCount val="1"/>
              <c:pt idx="0">
                <c:v>0</c:v>
              </c:pt>
            </c:numLit>
          </c:val>
        </c:ser>
        <c:ser>
          <c:idx val="3"/>
          <c:order val="2"/>
          <c:tx>
            <c:v>2012</c:v>
          </c:tx>
          <c:invertIfNegative val="0"/>
          <c:cat>
            <c:numLit>
              <c:formatCode>General</c:formatCode>
              <c:ptCount val="1"/>
              <c:pt idx="0">
                <c:v>2015</c:v>
              </c:pt>
            </c:numLit>
          </c:cat>
          <c:val>
            <c:numLit>
              <c:formatCode>General</c:formatCode>
              <c:ptCount val="1"/>
              <c:pt idx="0">
                <c:v>0</c:v>
              </c:pt>
            </c:numLit>
          </c:val>
        </c:ser>
        <c:ser>
          <c:idx val="2"/>
          <c:order val="3"/>
          <c:tx>
            <c:v>2013</c:v>
          </c:tx>
          <c:invertIfNegative val="0"/>
          <c:cat>
            <c:numLit>
              <c:formatCode>General</c:formatCode>
              <c:ptCount val="1"/>
              <c:pt idx="0">
                <c:v>2015</c:v>
              </c:pt>
            </c:numLit>
          </c:cat>
          <c:val>
            <c:numLit>
              <c:formatCode>General</c:formatCode>
              <c:ptCount val="1"/>
              <c:pt idx="0">
                <c:v>0</c:v>
              </c:pt>
            </c:numLit>
          </c:val>
        </c:ser>
        <c:ser>
          <c:idx val="1"/>
          <c:order val="4"/>
          <c:tx>
            <c:v>2014</c:v>
          </c:tx>
          <c:invertIfNegative val="0"/>
          <c:cat>
            <c:numLit>
              <c:formatCode>General</c:formatCode>
              <c:ptCount val="1"/>
              <c:pt idx="0">
                <c:v>2015</c:v>
              </c:pt>
            </c:numLit>
          </c:cat>
          <c:val>
            <c:numRef>
              <c:f>'2014 - MTBF, MTTF, Exp, Weibull'!#REF!</c:f>
              <c:numCache>
                <c:formatCode>General</c:formatCode>
                <c:ptCount val="1"/>
                <c:pt idx="0">
                  <c:v>1</c:v>
                </c:pt>
              </c:numCache>
            </c:numRef>
          </c:val>
        </c:ser>
        <c:ser>
          <c:idx val="0"/>
          <c:order val="5"/>
          <c:tx>
            <c:v>2015</c:v>
          </c:tx>
          <c:invertIfNegative val="0"/>
          <c:cat>
            <c:numLit>
              <c:formatCode>General</c:formatCode>
              <c:ptCount val="1"/>
              <c:pt idx="0">
                <c:v>2015</c:v>
              </c:pt>
            </c:numLit>
          </c:cat>
          <c:val>
            <c:numRef>
              <c:f>'2015 - MTBF, MTTF, Exponencial'!$Z$14</c:f>
              <c:numCache>
                <c:formatCode>General</c:formatCode>
                <c:ptCount val="1"/>
                <c:pt idx="0">
                  <c:v>359</c:v>
                </c:pt>
              </c:numCache>
            </c:numRef>
          </c:val>
        </c:ser>
        <c:dLbls>
          <c:showLegendKey val="0"/>
          <c:showVal val="1"/>
          <c:showCatName val="0"/>
          <c:showSerName val="0"/>
          <c:showPercent val="0"/>
          <c:showBubbleSize val="0"/>
        </c:dLbls>
        <c:gapWidth val="300"/>
        <c:shape val="box"/>
        <c:axId val="126401920"/>
        <c:axId val="126411904"/>
        <c:axId val="126592768"/>
      </c:bar3DChart>
      <c:catAx>
        <c:axId val="126401920"/>
        <c:scaling>
          <c:orientation val="minMax"/>
        </c:scaling>
        <c:delete val="1"/>
        <c:axPos val="b"/>
        <c:numFmt formatCode="General" sourceLinked="1"/>
        <c:majorTickMark val="none"/>
        <c:minorTickMark val="none"/>
        <c:tickLblPos val="nextTo"/>
        <c:crossAx val="126411904"/>
        <c:crosses val="autoZero"/>
        <c:auto val="1"/>
        <c:lblAlgn val="ctr"/>
        <c:lblOffset val="100"/>
        <c:noMultiLvlLbl val="0"/>
      </c:catAx>
      <c:valAx>
        <c:axId val="126411904"/>
        <c:scaling>
          <c:orientation val="minMax"/>
        </c:scaling>
        <c:delete val="0"/>
        <c:axPos val="l"/>
        <c:majorGridlines/>
        <c:minorGridlines/>
        <c:numFmt formatCode="General" sourceLinked="1"/>
        <c:majorTickMark val="out"/>
        <c:minorTickMark val="none"/>
        <c:tickLblPos val="nextTo"/>
        <c:crossAx val="126401920"/>
        <c:crosses val="autoZero"/>
        <c:crossBetween val="between"/>
      </c:valAx>
      <c:serAx>
        <c:axId val="126592768"/>
        <c:scaling>
          <c:orientation val="minMax"/>
        </c:scaling>
        <c:delete val="1"/>
        <c:axPos val="b"/>
        <c:majorTickMark val="none"/>
        <c:minorTickMark val="none"/>
        <c:tickLblPos val="nextTo"/>
        <c:crossAx val="126411904"/>
        <c:crosses val="autoZero"/>
      </c:serAx>
    </c:plotArea>
    <c:legend>
      <c:legendPos val="r"/>
      <c:layout/>
      <c:overlay val="0"/>
    </c:legend>
    <c:plotVisOnly val="1"/>
    <c:dispBlanksAs val="gap"/>
    <c:showDLblsOverMax val="0"/>
  </c:chart>
  <c:printSettings>
    <c:headerFooter/>
    <c:pageMargins b="0.75" l="0.7" r="0.7" t="0.75" header="0.3" footer="0.3"/>
    <c:pageSetup/>
  </c:printSettings>
</c:chartSpace>
</file>

<file path=xl/charts/chart182.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a:pPr>
            <a:r>
              <a:rPr lang="pt-PT"/>
              <a:t>MTBF - </a:t>
            </a:r>
            <a:r>
              <a:rPr lang="pt-PT" sz="1800" b="1" i="0" u="none" strike="noStrike" baseline="0">
                <a:effectLst/>
              </a:rPr>
              <a:t>Incinerador2 - Precipitador</a:t>
            </a:r>
            <a:endParaRPr lang="pt-PT" baseline="0"/>
          </a:p>
        </c:rich>
      </c:tx>
      <c:layout/>
      <c:overlay val="0"/>
    </c:title>
    <c:autoTitleDeleted val="0"/>
    <c:view3D>
      <c:rotX val="10"/>
      <c:hPercent val="100"/>
      <c:rotY val="70"/>
      <c:depthPercent val="100"/>
      <c:rAngAx val="0"/>
      <c:perspective val="0"/>
    </c:view3D>
    <c:floor>
      <c:thickness val="0"/>
    </c:floor>
    <c:sideWall>
      <c:thickness val="0"/>
    </c:sideWall>
    <c:backWall>
      <c:thickness val="0"/>
    </c:backWall>
    <c:plotArea>
      <c:layout>
        <c:manualLayout>
          <c:layoutTarget val="inner"/>
          <c:xMode val="edge"/>
          <c:yMode val="edge"/>
          <c:x val="7.0883357626873478E-2"/>
          <c:y val="0.23228055962803945"/>
          <c:w val="0.70223214622210628"/>
          <c:h val="0.60242701087055972"/>
        </c:manualLayout>
      </c:layout>
      <c:bar3DChart>
        <c:barDir val="col"/>
        <c:grouping val="standard"/>
        <c:varyColors val="0"/>
        <c:ser>
          <c:idx val="5"/>
          <c:order val="0"/>
          <c:tx>
            <c:v>2010</c:v>
          </c:tx>
          <c:invertIfNegative val="0"/>
          <c:cat>
            <c:numLit>
              <c:formatCode>General</c:formatCode>
              <c:ptCount val="1"/>
              <c:pt idx="0">
                <c:v>2015</c:v>
              </c:pt>
            </c:numLit>
          </c:cat>
          <c:val>
            <c:numLit>
              <c:formatCode>General</c:formatCode>
              <c:ptCount val="1"/>
              <c:pt idx="0">
                <c:v>0</c:v>
              </c:pt>
            </c:numLit>
          </c:val>
        </c:ser>
        <c:ser>
          <c:idx val="4"/>
          <c:order val="1"/>
          <c:tx>
            <c:v>2011</c:v>
          </c:tx>
          <c:invertIfNegative val="0"/>
          <c:dLbls>
            <c:txPr>
              <a:bodyPr rot="0" vert="horz" anchor="t" anchorCtr="0"/>
              <a:lstStyle/>
              <a:p>
                <a:pPr>
                  <a:defRPr/>
                </a:pPr>
                <a:endParaRPr lang="pt-PT"/>
              </a:p>
            </c:txPr>
            <c:showLegendKey val="0"/>
            <c:showVal val="1"/>
            <c:showCatName val="0"/>
            <c:showSerName val="0"/>
            <c:showPercent val="0"/>
            <c:showBubbleSize val="0"/>
            <c:showLeaderLines val="0"/>
          </c:dLbls>
          <c:cat>
            <c:numLit>
              <c:formatCode>General</c:formatCode>
              <c:ptCount val="1"/>
              <c:pt idx="0">
                <c:v>2015</c:v>
              </c:pt>
            </c:numLit>
          </c:cat>
          <c:val>
            <c:numRef>
              <c:f>'2011 - MTBF, MTTF, Exponencial'!$Z$33</c:f>
              <c:numCache>
                <c:formatCode>General</c:formatCode>
                <c:ptCount val="1"/>
                <c:pt idx="0">
                  <c:v>359</c:v>
                </c:pt>
              </c:numCache>
            </c:numRef>
          </c:val>
        </c:ser>
        <c:ser>
          <c:idx val="3"/>
          <c:order val="2"/>
          <c:tx>
            <c:v>2012</c:v>
          </c:tx>
          <c:invertIfNegative val="0"/>
          <c:cat>
            <c:numLit>
              <c:formatCode>General</c:formatCode>
              <c:ptCount val="1"/>
              <c:pt idx="0">
                <c:v>2015</c:v>
              </c:pt>
            </c:numLit>
          </c:cat>
          <c:val>
            <c:numRef>
              <c:f>'2012 - MTBF, MTTF, Exponencial'!$Z$32</c:f>
              <c:numCache>
                <c:formatCode>General</c:formatCode>
                <c:ptCount val="1"/>
                <c:pt idx="0">
                  <c:v>119</c:v>
                </c:pt>
              </c:numCache>
            </c:numRef>
          </c:val>
        </c:ser>
        <c:ser>
          <c:idx val="2"/>
          <c:order val="3"/>
          <c:tx>
            <c:v>2013</c:v>
          </c:tx>
          <c:invertIfNegative val="0"/>
          <c:cat>
            <c:numLit>
              <c:formatCode>General</c:formatCode>
              <c:ptCount val="1"/>
              <c:pt idx="0">
                <c:v>2015</c:v>
              </c:pt>
            </c:numLit>
          </c:cat>
          <c:val>
            <c:numLit>
              <c:formatCode>General</c:formatCode>
              <c:ptCount val="1"/>
              <c:pt idx="0">
                <c:v>0</c:v>
              </c:pt>
            </c:numLit>
          </c:val>
        </c:ser>
        <c:ser>
          <c:idx val="1"/>
          <c:order val="4"/>
          <c:tx>
            <c:v>2014</c:v>
          </c:tx>
          <c:invertIfNegative val="0"/>
          <c:cat>
            <c:numLit>
              <c:formatCode>General</c:formatCode>
              <c:ptCount val="1"/>
              <c:pt idx="0">
                <c:v>2015</c:v>
              </c:pt>
            </c:numLit>
          </c:cat>
          <c:val>
            <c:numLit>
              <c:formatCode>General</c:formatCode>
              <c:ptCount val="1"/>
              <c:pt idx="0">
                <c:v>0</c:v>
              </c:pt>
            </c:numLit>
          </c:val>
        </c:ser>
        <c:ser>
          <c:idx val="0"/>
          <c:order val="5"/>
          <c:tx>
            <c:v>2015</c:v>
          </c:tx>
          <c:invertIfNegative val="0"/>
          <c:cat>
            <c:numLit>
              <c:formatCode>General</c:formatCode>
              <c:ptCount val="1"/>
              <c:pt idx="0">
                <c:v>2015</c:v>
              </c:pt>
            </c:numLit>
          </c:cat>
          <c:val>
            <c:numRef>
              <c:f>'2015 - MTBF, MTTF, Exponencial'!$Z$21</c:f>
              <c:numCache>
                <c:formatCode>General</c:formatCode>
                <c:ptCount val="1"/>
                <c:pt idx="0">
                  <c:v>359</c:v>
                </c:pt>
              </c:numCache>
            </c:numRef>
          </c:val>
        </c:ser>
        <c:dLbls>
          <c:showLegendKey val="0"/>
          <c:showVal val="1"/>
          <c:showCatName val="0"/>
          <c:showSerName val="0"/>
          <c:showPercent val="0"/>
          <c:showBubbleSize val="0"/>
        </c:dLbls>
        <c:gapWidth val="300"/>
        <c:shape val="box"/>
        <c:axId val="126473728"/>
        <c:axId val="126475264"/>
        <c:axId val="126469440"/>
      </c:bar3DChart>
      <c:catAx>
        <c:axId val="126473728"/>
        <c:scaling>
          <c:orientation val="minMax"/>
        </c:scaling>
        <c:delete val="1"/>
        <c:axPos val="b"/>
        <c:numFmt formatCode="General" sourceLinked="1"/>
        <c:majorTickMark val="none"/>
        <c:minorTickMark val="none"/>
        <c:tickLblPos val="nextTo"/>
        <c:crossAx val="126475264"/>
        <c:crosses val="autoZero"/>
        <c:auto val="1"/>
        <c:lblAlgn val="ctr"/>
        <c:lblOffset val="100"/>
        <c:noMultiLvlLbl val="0"/>
      </c:catAx>
      <c:valAx>
        <c:axId val="126475264"/>
        <c:scaling>
          <c:orientation val="minMax"/>
        </c:scaling>
        <c:delete val="0"/>
        <c:axPos val="l"/>
        <c:majorGridlines/>
        <c:minorGridlines/>
        <c:numFmt formatCode="General" sourceLinked="1"/>
        <c:majorTickMark val="out"/>
        <c:minorTickMark val="none"/>
        <c:tickLblPos val="nextTo"/>
        <c:crossAx val="126473728"/>
        <c:crosses val="autoZero"/>
        <c:crossBetween val="between"/>
      </c:valAx>
      <c:serAx>
        <c:axId val="126469440"/>
        <c:scaling>
          <c:orientation val="minMax"/>
        </c:scaling>
        <c:delete val="1"/>
        <c:axPos val="b"/>
        <c:majorTickMark val="none"/>
        <c:minorTickMark val="none"/>
        <c:tickLblPos val="nextTo"/>
        <c:crossAx val="126475264"/>
        <c:crosses val="autoZero"/>
      </c:serAx>
    </c:plotArea>
    <c:legend>
      <c:legendPos val="r"/>
      <c:layout/>
      <c:overlay val="0"/>
    </c:legend>
    <c:plotVisOnly val="1"/>
    <c:dispBlanksAs val="gap"/>
    <c:showDLblsOverMax val="0"/>
  </c:chart>
  <c:printSettings>
    <c:headerFooter/>
    <c:pageMargins b="0.75" l="0.7" r="0.7" t="0.75" header="0.3" footer="0.3"/>
    <c:pageSetup/>
  </c:printSettings>
</c:chartSpace>
</file>

<file path=xl/charts/chart183.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a:pPr>
            <a:r>
              <a:rPr lang="pt-PT"/>
              <a:t>MTBF - </a:t>
            </a:r>
            <a:r>
              <a:rPr lang="pt-PT" sz="1800" b="1" i="0" u="none" strike="noStrike" baseline="0">
                <a:effectLst/>
              </a:rPr>
              <a:t>Incinerador3 - Alimentação</a:t>
            </a:r>
            <a:endParaRPr lang="pt-PT" baseline="0"/>
          </a:p>
        </c:rich>
      </c:tx>
      <c:layout/>
      <c:overlay val="0"/>
    </c:title>
    <c:autoTitleDeleted val="0"/>
    <c:view3D>
      <c:rotX val="10"/>
      <c:hPercent val="100"/>
      <c:rotY val="70"/>
      <c:depthPercent val="100"/>
      <c:rAngAx val="0"/>
      <c:perspective val="0"/>
    </c:view3D>
    <c:floor>
      <c:thickness val="0"/>
    </c:floor>
    <c:sideWall>
      <c:thickness val="0"/>
    </c:sideWall>
    <c:backWall>
      <c:thickness val="0"/>
    </c:backWall>
    <c:plotArea>
      <c:layout>
        <c:manualLayout>
          <c:layoutTarget val="inner"/>
          <c:xMode val="edge"/>
          <c:yMode val="edge"/>
          <c:x val="7.0883357626873478E-2"/>
          <c:y val="0.23228055962803945"/>
          <c:w val="0.70223214622210628"/>
          <c:h val="0.60242701087055972"/>
        </c:manualLayout>
      </c:layout>
      <c:bar3DChart>
        <c:barDir val="col"/>
        <c:grouping val="standard"/>
        <c:varyColors val="0"/>
        <c:ser>
          <c:idx val="5"/>
          <c:order val="0"/>
          <c:tx>
            <c:v>2010</c:v>
          </c:tx>
          <c:invertIfNegative val="0"/>
          <c:cat>
            <c:numLit>
              <c:formatCode>General</c:formatCode>
              <c:ptCount val="1"/>
              <c:pt idx="0">
                <c:v>2015</c:v>
              </c:pt>
            </c:numLit>
          </c:cat>
          <c:val>
            <c:numRef>
              <c:f>'2010 - MTBF, MTTF, Exponencial'!$Z$23</c:f>
              <c:numCache>
                <c:formatCode>General</c:formatCode>
                <c:ptCount val="1"/>
              </c:numCache>
            </c:numRef>
          </c:val>
        </c:ser>
        <c:ser>
          <c:idx val="4"/>
          <c:order val="1"/>
          <c:tx>
            <c:v>2011</c:v>
          </c:tx>
          <c:invertIfNegative val="0"/>
          <c:dLbls>
            <c:txPr>
              <a:bodyPr rot="0" vert="horz" anchor="t" anchorCtr="0"/>
              <a:lstStyle/>
              <a:p>
                <a:pPr>
                  <a:defRPr/>
                </a:pPr>
                <a:endParaRPr lang="pt-PT"/>
              </a:p>
            </c:txPr>
            <c:showLegendKey val="0"/>
            <c:showVal val="1"/>
            <c:showCatName val="0"/>
            <c:showSerName val="0"/>
            <c:showPercent val="0"/>
            <c:showBubbleSize val="0"/>
            <c:showLeaderLines val="0"/>
          </c:dLbls>
          <c:cat>
            <c:numLit>
              <c:formatCode>General</c:formatCode>
              <c:ptCount val="1"/>
              <c:pt idx="0">
                <c:v>2015</c:v>
              </c:pt>
            </c:numLit>
          </c:cat>
          <c:val>
            <c:numRef>
              <c:f>'2011 - MTBF, MTTF, Exponencial'!$Z$38</c:f>
              <c:numCache>
                <c:formatCode>General</c:formatCode>
                <c:ptCount val="1"/>
                <c:pt idx="0">
                  <c:v>89</c:v>
                </c:pt>
              </c:numCache>
            </c:numRef>
          </c:val>
        </c:ser>
        <c:ser>
          <c:idx val="3"/>
          <c:order val="2"/>
          <c:tx>
            <c:v>2012</c:v>
          </c:tx>
          <c:invertIfNegative val="0"/>
          <c:cat>
            <c:numLit>
              <c:formatCode>General</c:formatCode>
              <c:ptCount val="1"/>
              <c:pt idx="0">
                <c:v>2015</c:v>
              </c:pt>
            </c:numLit>
          </c:cat>
          <c:val>
            <c:numRef>
              <c:f>'2012 - MTBF, MTTF, Exponencial'!$Z$42</c:f>
              <c:numCache>
                <c:formatCode>General</c:formatCode>
                <c:ptCount val="1"/>
                <c:pt idx="0">
                  <c:v>119</c:v>
                </c:pt>
              </c:numCache>
            </c:numRef>
          </c:val>
        </c:ser>
        <c:ser>
          <c:idx val="2"/>
          <c:order val="3"/>
          <c:tx>
            <c:v>2013</c:v>
          </c:tx>
          <c:invertIfNegative val="0"/>
          <c:cat>
            <c:numLit>
              <c:formatCode>General</c:formatCode>
              <c:ptCount val="1"/>
              <c:pt idx="0">
                <c:v>2015</c:v>
              </c:pt>
            </c:numLit>
          </c:cat>
          <c:val>
            <c:numRef>
              <c:f>'2013 - MTBF, MTTF, Exponencial'!$Z$28</c:f>
              <c:numCache>
                <c:formatCode>General</c:formatCode>
                <c:ptCount val="1"/>
                <c:pt idx="0">
                  <c:v>35</c:v>
                </c:pt>
              </c:numCache>
            </c:numRef>
          </c:val>
        </c:ser>
        <c:ser>
          <c:idx val="1"/>
          <c:order val="4"/>
          <c:tx>
            <c:v>2014</c:v>
          </c:tx>
          <c:invertIfNegative val="0"/>
          <c:cat>
            <c:numLit>
              <c:formatCode>General</c:formatCode>
              <c:ptCount val="1"/>
              <c:pt idx="0">
                <c:v>2015</c:v>
              </c:pt>
            </c:numLit>
          </c:cat>
          <c:val>
            <c:numRef>
              <c:f>'2014 - MTBF, MTTF, Exp, Weibull'!#REF!</c:f>
              <c:numCache>
                <c:formatCode>General</c:formatCode>
                <c:ptCount val="1"/>
                <c:pt idx="0">
                  <c:v>1</c:v>
                </c:pt>
              </c:numCache>
            </c:numRef>
          </c:val>
        </c:ser>
        <c:ser>
          <c:idx val="0"/>
          <c:order val="5"/>
          <c:tx>
            <c:v>2015</c:v>
          </c:tx>
          <c:invertIfNegative val="0"/>
          <c:cat>
            <c:numLit>
              <c:formatCode>General</c:formatCode>
              <c:ptCount val="1"/>
              <c:pt idx="0">
                <c:v>2015</c:v>
              </c:pt>
            </c:numLit>
          </c:cat>
          <c:val>
            <c:numRef>
              <c:f>'2015 - MTBF, MTTF, Exponencial'!$Z$24</c:f>
              <c:numCache>
                <c:formatCode>General</c:formatCode>
                <c:ptCount val="1"/>
                <c:pt idx="0">
                  <c:v>179</c:v>
                </c:pt>
              </c:numCache>
            </c:numRef>
          </c:val>
        </c:ser>
        <c:dLbls>
          <c:showLegendKey val="0"/>
          <c:showVal val="1"/>
          <c:showCatName val="0"/>
          <c:showSerName val="0"/>
          <c:showPercent val="0"/>
          <c:showBubbleSize val="0"/>
        </c:dLbls>
        <c:gapWidth val="300"/>
        <c:shape val="box"/>
        <c:axId val="126537088"/>
        <c:axId val="126948480"/>
        <c:axId val="126546816"/>
      </c:bar3DChart>
      <c:catAx>
        <c:axId val="126537088"/>
        <c:scaling>
          <c:orientation val="minMax"/>
        </c:scaling>
        <c:delete val="1"/>
        <c:axPos val="b"/>
        <c:numFmt formatCode="General" sourceLinked="1"/>
        <c:majorTickMark val="none"/>
        <c:minorTickMark val="none"/>
        <c:tickLblPos val="nextTo"/>
        <c:crossAx val="126948480"/>
        <c:crosses val="autoZero"/>
        <c:auto val="1"/>
        <c:lblAlgn val="ctr"/>
        <c:lblOffset val="100"/>
        <c:noMultiLvlLbl val="0"/>
      </c:catAx>
      <c:valAx>
        <c:axId val="126948480"/>
        <c:scaling>
          <c:orientation val="minMax"/>
        </c:scaling>
        <c:delete val="0"/>
        <c:axPos val="l"/>
        <c:majorGridlines/>
        <c:minorGridlines/>
        <c:numFmt formatCode="General" sourceLinked="1"/>
        <c:majorTickMark val="out"/>
        <c:minorTickMark val="none"/>
        <c:tickLblPos val="nextTo"/>
        <c:crossAx val="126537088"/>
        <c:crosses val="autoZero"/>
        <c:crossBetween val="between"/>
      </c:valAx>
      <c:serAx>
        <c:axId val="126546816"/>
        <c:scaling>
          <c:orientation val="minMax"/>
        </c:scaling>
        <c:delete val="1"/>
        <c:axPos val="b"/>
        <c:majorTickMark val="none"/>
        <c:minorTickMark val="none"/>
        <c:tickLblPos val="nextTo"/>
        <c:crossAx val="126948480"/>
        <c:crosses val="autoZero"/>
      </c:serAx>
    </c:plotArea>
    <c:legend>
      <c:legendPos val="r"/>
      <c:layout/>
      <c:overlay val="0"/>
    </c:legend>
    <c:plotVisOnly val="1"/>
    <c:dispBlanksAs val="gap"/>
    <c:showDLblsOverMax val="0"/>
  </c:chart>
  <c:printSettings>
    <c:headerFooter/>
    <c:pageMargins b="0.75" l="0.7" r="0.7" t="0.75" header="0.3" footer="0.3"/>
    <c:pageSetup/>
  </c:printSettings>
</c:chartSpace>
</file>

<file path=xl/charts/chart184.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a:pPr>
            <a:r>
              <a:rPr lang="pt-PT"/>
              <a:t>MTBF - </a:t>
            </a:r>
            <a:r>
              <a:rPr lang="pt-PT" sz="1800" b="1" i="0" u="none" strike="noStrike" baseline="0">
                <a:effectLst/>
              </a:rPr>
              <a:t>Incinerador</a:t>
            </a:r>
            <a:r>
              <a:rPr lang="pt-PT"/>
              <a:t>3 -</a:t>
            </a:r>
            <a:r>
              <a:rPr lang="pt-PT" baseline="0"/>
              <a:t> Chaminé</a:t>
            </a:r>
          </a:p>
        </c:rich>
      </c:tx>
      <c:layout/>
      <c:overlay val="0"/>
    </c:title>
    <c:autoTitleDeleted val="0"/>
    <c:view3D>
      <c:rotX val="10"/>
      <c:hPercent val="100"/>
      <c:rotY val="70"/>
      <c:depthPercent val="100"/>
      <c:rAngAx val="0"/>
      <c:perspective val="0"/>
    </c:view3D>
    <c:floor>
      <c:thickness val="0"/>
    </c:floor>
    <c:sideWall>
      <c:thickness val="0"/>
    </c:sideWall>
    <c:backWall>
      <c:thickness val="0"/>
    </c:backWall>
    <c:plotArea>
      <c:layout>
        <c:manualLayout>
          <c:layoutTarget val="inner"/>
          <c:xMode val="edge"/>
          <c:yMode val="edge"/>
          <c:x val="7.0883357626873478E-2"/>
          <c:y val="0.23228055962803945"/>
          <c:w val="0.70223214622210628"/>
          <c:h val="0.60242701087055972"/>
        </c:manualLayout>
      </c:layout>
      <c:bar3DChart>
        <c:barDir val="col"/>
        <c:grouping val="standard"/>
        <c:varyColors val="0"/>
        <c:ser>
          <c:idx val="5"/>
          <c:order val="0"/>
          <c:tx>
            <c:v>2010</c:v>
          </c:tx>
          <c:invertIfNegative val="0"/>
          <c:cat>
            <c:numLit>
              <c:formatCode>General</c:formatCode>
              <c:ptCount val="1"/>
              <c:pt idx="0">
                <c:v>2015</c:v>
              </c:pt>
            </c:numLit>
          </c:cat>
          <c:val>
            <c:numRef>
              <c:f>'2010 - MTBF, MTTF, Exponencial'!$Z$27</c:f>
              <c:numCache>
                <c:formatCode>General</c:formatCode>
                <c:ptCount val="1"/>
              </c:numCache>
            </c:numRef>
          </c:val>
        </c:ser>
        <c:ser>
          <c:idx val="4"/>
          <c:order val="1"/>
          <c:tx>
            <c:v>2011</c:v>
          </c:tx>
          <c:invertIfNegative val="0"/>
          <c:dLbls>
            <c:txPr>
              <a:bodyPr rot="0" vert="horz" anchor="t" anchorCtr="0"/>
              <a:lstStyle/>
              <a:p>
                <a:pPr>
                  <a:defRPr/>
                </a:pPr>
                <a:endParaRPr lang="pt-PT"/>
              </a:p>
            </c:txPr>
            <c:showLegendKey val="0"/>
            <c:showVal val="1"/>
            <c:showCatName val="0"/>
            <c:showSerName val="0"/>
            <c:showPercent val="0"/>
            <c:showBubbleSize val="0"/>
            <c:showLeaderLines val="0"/>
          </c:dLbls>
          <c:cat>
            <c:numLit>
              <c:formatCode>General</c:formatCode>
              <c:ptCount val="1"/>
              <c:pt idx="0">
                <c:v>2015</c:v>
              </c:pt>
            </c:numLit>
          </c:cat>
          <c:val>
            <c:numRef>
              <c:f>'2011 - MTBF, MTTF, Exponencial'!$Z$44</c:f>
              <c:numCache>
                <c:formatCode>General</c:formatCode>
                <c:ptCount val="1"/>
                <c:pt idx="0">
                  <c:v>71</c:v>
                </c:pt>
              </c:numCache>
            </c:numRef>
          </c:val>
        </c:ser>
        <c:ser>
          <c:idx val="3"/>
          <c:order val="2"/>
          <c:tx>
            <c:v>2012</c:v>
          </c:tx>
          <c:invertIfNegative val="0"/>
          <c:cat>
            <c:numLit>
              <c:formatCode>General</c:formatCode>
              <c:ptCount val="1"/>
              <c:pt idx="0">
                <c:v>2015</c:v>
              </c:pt>
            </c:numLit>
          </c:cat>
          <c:val>
            <c:numRef>
              <c:f>'2012 - MTBF, MTTF, Exponencial'!$Z$47</c:f>
              <c:numCache>
                <c:formatCode>General</c:formatCode>
                <c:ptCount val="1"/>
                <c:pt idx="0">
                  <c:v>89</c:v>
                </c:pt>
              </c:numCache>
            </c:numRef>
          </c:val>
        </c:ser>
        <c:ser>
          <c:idx val="2"/>
          <c:order val="3"/>
          <c:tx>
            <c:v>2013</c:v>
          </c:tx>
          <c:invertIfNegative val="0"/>
          <c:cat>
            <c:numLit>
              <c:formatCode>General</c:formatCode>
              <c:ptCount val="1"/>
              <c:pt idx="0">
                <c:v>2015</c:v>
              </c:pt>
            </c:numLit>
          </c:cat>
          <c:val>
            <c:numRef>
              <c:f>'2013 - MTBF, MTTF, Exponencial'!$Z$36</c:f>
              <c:numCache>
                <c:formatCode>General</c:formatCode>
                <c:ptCount val="1"/>
                <c:pt idx="0">
                  <c:v>51</c:v>
                </c:pt>
              </c:numCache>
            </c:numRef>
          </c:val>
        </c:ser>
        <c:ser>
          <c:idx val="1"/>
          <c:order val="4"/>
          <c:tx>
            <c:v>2014</c:v>
          </c:tx>
          <c:invertIfNegative val="0"/>
          <c:cat>
            <c:numLit>
              <c:formatCode>General</c:formatCode>
              <c:ptCount val="1"/>
              <c:pt idx="0">
                <c:v>2015</c:v>
              </c:pt>
            </c:numLit>
          </c:cat>
          <c:val>
            <c:numRef>
              <c:f>'2014 - MTBF, MTTF, Exp, Weibull'!#REF!</c:f>
              <c:numCache>
                <c:formatCode>General</c:formatCode>
                <c:ptCount val="1"/>
                <c:pt idx="0">
                  <c:v>1</c:v>
                </c:pt>
              </c:numCache>
            </c:numRef>
          </c:val>
        </c:ser>
        <c:ser>
          <c:idx val="0"/>
          <c:order val="5"/>
          <c:tx>
            <c:v>2015</c:v>
          </c:tx>
          <c:invertIfNegative val="0"/>
          <c:cat>
            <c:numLit>
              <c:formatCode>General</c:formatCode>
              <c:ptCount val="1"/>
              <c:pt idx="0">
                <c:v>2015</c:v>
              </c:pt>
            </c:numLit>
          </c:cat>
          <c:val>
            <c:numRef>
              <c:f>'2015 - MTBF, MTTF, Exponencial'!$Z$29</c:f>
              <c:numCache>
                <c:formatCode>General</c:formatCode>
                <c:ptCount val="1"/>
                <c:pt idx="0">
                  <c:v>89</c:v>
                </c:pt>
              </c:numCache>
            </c:numRef>
          </c:val>
        </c:ser>
        <c:dLbls>
          <c:showLegendKey val="0"/>
          <c:showVal val="1"/>
          <c:showCatName val="0"/>
          <c:showSerName val="0"/>
          <c:showPercent val="0"/>
          <c:showBubbleSize val="0"/>
        </c:dLbls>
        <c:gapWidth val="300"/>
        <c:shape val="box"/>
        <c:axId val="126998016"/>
        <c:axId val="126999552"/>
        <c:axId val="126992832"/>
      </c:bar3DChart>
      <c:catAx>
        <c:axId val="126998016"/>
        <c:scaling>
          <c:orientation val="minMax"/>
        </c:scaling>
        <c:delete val="1"/>
        <c:axPos val="b"/>
        <c:numFmt formatCode="General" sourceLinked="1"/>
        <c:majorTickMark val="none"/>
        <c:minorTickMark val="none"/>
        <c:tickLblPos val="nextTo"/>
        <c:crossAx val="126999552"/>
        <c:crosses val="autoZero"/>
        <c:auto val="1"/>
        <c:lblAlgn val="ctr"/>
        <c:lblOffset val="100"/>
        <c:noMultiLvlLbl val="0"/>
      </c:catAx>
      <c:valAx>
        <c:axId val="126999552"/>
        <c:scaling>
          <c:orientation val="minMax"/>
        </c:scaling>
        <c:delete val="0"/>
        <c:axPos val="l"/>
        <c:majorGridlines/>
        <c:minorGridlines/>
        <c:numFmt formatCode="General" sourceLinked="1"/>
        <c:majorTickMark val="out"/>
        <c:minorTickMark val="none"/>
        <c:tickLblPos val="nextTo"/>
        <c:crossAx val="126998016"/>
        <c:crosses val="autoZero"/>
        <c:crossBetween val="between"/>
      </c:valAx>
      <c:serAx>
        <c:axId val="126992832"/>
        <c:scaling>
          <c:orientation val="minMax"/>
        </c:scaling>
        <c:delete val="1"/>
        <c:axPos val="b"/>
        <c:majorTickMark val="none"/>
        <c:minorTickMark val="none"/>
        <c:tickLblPos val="nextTo"/>
        <c:crossAx val="126999552"/>
        <c:crosses val="autoZero"/>
      </c:serAx>
    </c:plotArea>
    <c:legend>
      <c:legendPos val="r"/>
      <c:layout/>
      <c:overlay val="0"/>
    </c:legend>
    <c:plotVisOnly val="1"/>
    <c:dispBlanksAs val="gap"/>
    <c:showDLblsOverMax val="0"/>
  </c:chart>
  <c:printSettings>
    <c:headerFooter/>
    <c:pageMargins b="0.75" l="0.7" r="0.7" t="0.75" header="0.3" footer="0.3"/>
    <c:pageSetup/>
  </c:printSettings>
</c:chartSpace>
</file>

<file path=xl/charts/chart185.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a:pPr>
            <a:r>
              <a:rPr lang="pt-PT"/>
              <a:t>MTBF - Incinerador</a:t>
            </a:r>
            <a:r>
              <a:rPr lang="pt-PT" baseline="0"/>
              <a:t>3 - Aquecedor</a:t>
            </a:r>
          </a:p>
        </c:rich>
      </c:tx>
      <c:layout/>
      <c:overlay val="0"/>
    </c:title>
    <c:autoTitleDeleted val="0"/>
    <c:view3D>
      <c:rotX val="10"/>
      <c:hPercent val="100"/>
      <c:rotY val="70"/>
      <c:depthPercent val="100"/>
      <c:rAngAx val="0"/>
      <c:perspective val="0"/>
    </c:view3D>
    <c:floor>
      <c:thickness val="0"/>
    </c:floor>
    <c:sideWall>
      <c:thickness val="0"/>
    </c:sideWall>
    <c:backWall>
      <c:thickness val="0"/>
    </c:backWall>
    <c:plotArea>
      <c:layout>
        <c:manualLayout>
          <c:layoutTarget val="inner"/>
          <c:xMode val="edge"/>
          <c:yMode val="edge"/>
          <c:x val="7.0883357626873478E-2"/>
          <c:y val="0.23228055962803945"/>
          <c:w val="0.70223214622210628"/>
          <c:h val="0.60242701087055972"/>
        </c:manualLayout>
      </c:layout>
      <c:bar3DChart>
        <c:barDir val="col"/>
        <c:grouping val="standard"/>
        <c:varyColors val="0"/>
        <c:ser>
          <c:idx val="5"/>
          <c:order val="0"/>
          <c:tx>
            <c:v>2010</c:v>
          </c:tx>
          <c:invertIfNegative val="0"/>
          <c:cat>
            <c:numLit>
              <c:formatCode>General</c:formatCode>
              <c:ptCount val="1"/>
              <c:pt idx="0">
                <c:v>2015</c:v>
              </c:pt>
            </c:numLit>
          </c:cat>
          <c:val>
            <c:numRef>
              <c:f>'2010 - MTBF, MTTF, Exponencial'!$Z$28</c:f>
              <c:numCache>
                <c:formatCode>General</c:formatCode>
                <c:ptCount val="1"/>
                <c:pt idx="0">
                  <c:v>119</c:v>
                </c:pt>
              </c:numCache>
            </c:numRef>
          </c:val>
        </c:ser>
        <c:ser>
          <c:idx val="4"/>
          <c:order val="1"/>
          <c:tx>
            <c:v>2011</c:v>
          </c:tx>
          <c:invertIfNegative val="0"/>
          <c:dLbls>
            <c:txPr>
              <a:bodyPr rot="0" vert="horz" anchor="t" anchorCtr="0"/>
              <a:lstStyle/>
              <a:p>
                <a:pPr>
                  <a:defRPr/>
                </a:pPr>
                <a:endParaRPr lang="pt-PT"/>
              </a:p>
            </c:txPr>
            <c:showLegendKey val="0"/>
            <c:showVal val="1"/>
            <c:showCatName val="0"/>
            <c:showSerName val="0"/>
            <c:showPercent val="0"/>
            <c:showBubbleSize val="0"/>
            <c:showLeaderLines val="0"/>
          </c:dLbls>
          <c:cat>
            <c:numLit>
              <c:formatCode>General</c:formatCode>
              <c:ptCount val="1"/>
              <c:pt idx="0">
                <c:v>2015</c:v>
              </c:pt>
            </c:numLit>
          </c:cat>
          <c:val>
            <c:numRef>
              <c:f>'2011 - MTBF, MTTF, Exponencial'!$Z$52</c:f>
              <c:numCache>
                <c:formatCode>General</c:formatCode>
                <c:ptCount val="1"/>
                <c:pt idx="0">
                  <c:v>119</c:v>
                </c:pt>
              </c:numCache>
            </c:numRef>
          </c:val>
        </c:ser>
        <c:ser>
          <c:idx val="3"/>
          <c:order val="2"/>
          <c:tx>
            <c:v>2012</c:v>
          </c:tx>
          <c:invertIfNegative val="0"/>
          <c:cat>
            <c:numLit>
              <c:formatCode>General</c:formatCode>
              <c:ptCount val="1"/>
              <c:pt idx="0">
                <c:v>2015</c:v>
              </c:pt>
            </c:numLit>
          </c:cat>
          <c:val>
            <c:numRef>
              <c:f>'2012 - MTBF, MTTF, Exponencial'!$Z$55</c:f>
              <c:numCache>
                <c:formatCode>General</c:formatCode>
                <c:ptCount val="1"/>
                <c:pt idx="0">
                  <c:v>50</c:v>
                </c:pt>
              </c:numCache>
            </c:numRef>
          </c:val>
        </c:ser>
        <c:ser>
          <c:idx val="2"/>
          <c:order val="3"/>
          <c:tx>
            <c:v>2013</c:v>
          </c:tx>
          <c:invertIfNegative val="0"/>
          <c:cat>
            <c:numLit>
              <c:formatCode>General</c:formatCode>
              <c:ptCount val="1"/>
              <c:pt idx="0">
                <c:v>2015</c:v>
              </c:pt>
            </c:numLit>
          </c:cat>
          <c:val>
            <c:numRef>
              <c:f>'2013 - MTBF, MTTF, Exponencial'!$Z$45</c:f>
              <c:numCache>
                <c:formatCode>General</c:formatCode>
                <c:ptCount val="1"/>
                <c:pt idx="0">
                  <c:v>119</c:v>
                </c:pt>
              </c:numCache>
            </c:numRef>
          </c:val>
        </c:ser>
        <c:ser>
          <c:idx val="1"/>
          <c:order val="4"/>
          <c:tx>
            <c:v>2014</c:v>
          </c:tx>
          <c:invertIfNegative val="0"/>
          <c:cat>
            <c:numLit>
              <c:formatCode>General</c:formatCode>
              <c:ptCount val="1"/>
              <c:pt idx="0">
                <c:v>2015</c:v>
              </c:pt>
            </c:numLit>
          </c:cat>
          <c:val>
            <c:numLit>
              <c:formatCode>General</c:formatCode>
              <c:ptCount val="1"/>
              <c:pt idx="0">
                <c:v>0</c:v>
              </c:pt>
            </c:numLit>
          </c:val>
        </c:ser>
        <c:ser>
          <c:idx val="0"/>
          <c:order val="5"/>
          <c:tx>
            <c:v>2015</c:v>
          </c:tx>
          <c:invertIfNegative val="0"/>
          <c:cat>
            <c:numLit>
              <c:formatCode>General</c:formatCode>
              <c:ptCount val="1"/>
              <c:pt idx="0">
                <c:v>2015</c:v>
              </c:pt>
            </c:numLit>
          </c:cat>
          <c:val>
            <c:numLit>
              <c:formatCode>General</c:formatCode>
              <c:ptCount val="1"/>
              <c:pt idx="0">
                <c:v>0</c:v>
              </c:pt>
            </c:numLit>
          </c:val>
        </c:ser>
        <c:dLbls>
          <c:showLegendKey val="0"/>
          <c:showVal val="1"/>
          <c:showCatName val="0"/>
          <c:showSerName val="0"/>
          <c:showPercent val="0"/>
          <c:showBubbleSize val="0"/>
        </c:dLbls>
        <c:gapWidth val="300"/>
        <c:shape val="box"/>
        <c:axId val="127069568"/>
        <c:axId val="126694528"/>
        <c:axId val="126681088"/>
      </c:bar3DChart>
      <c:catAx>
        <c:axId val="127069568"/>
        <c:scaling>
          <c:orientation val="minMax"/>
        </c:scaling>
        <c:delete val="1"/>
        <c:axPos val="b"/>
        <c:numFmt formatCode="General" sourceLinked="1"/>
        <c:majorTickMark val="none"/>
        <c:minorTickMark val="none"/>
        <c:tickLblPos val="nextTo"/>
        <c:crossAx val="126694528"/>
        <c:crosses val="autoZero"/>
        <c:auto val="1"/>
        <c:lblAlgn val="ctr"/>
        <c:lblOffset val="100"/>
        <c:noMultiLvlLbl val="0"/>
      </c:catAx>
      <c:valAx>
        <c:axId val="126694528"/>
        <c:scaling>
          <c:orientation val="minMax"/>
        </c:scaling>
        <c:delete val="0"/>
        <c:axPos val="l"/>
        <c:majorGridlines/>
        <c:minorGridlines/>
        <c:numFmt formatCode="General" sourceLinked="1"/>
        <c:majorTickMark val="out"/>
        <c:minorTickMark val="none"/>
        <c:tickLblPos val="nextTo"/>
        <c:crossAx val="127069568"/>
        <c:crosses val="autoZero"/>
        <c:crossBetween val="between"/>
      </c:valAx>
      <c:serAx>
        <c:axId val="126681088"/>
        <c:scaling>
          <c:orientation val="minMax"/>
        </c:scaling>
        <c:delete val="1"/>
        <c:axPos val="b"/>
        <c:majorTickMark val="none"/>
        <c:minorTickMark val="none"/>
        <c:tickLblPos val="nextTo"/>
        <c:crossAx val="126694528"/>
        <c:crosses val="autoZero"/>
      </c:serAx>
    </c:plotArea>
    <c:legend>
      <c:legendPos val="r"/>
      <c:layout/>
      <c:overlay val="0"/>
    </c:legend>
    <c:plotVisOnly val="1"/>
    <c:dispBlanksAs val="gap"/>
    <c:showDLblsOverMax val="0"/>
  </c:chart>
  <c:printSettings>
    <c:headerFooter/>
    <c:pageMargins b="0.75" l="0.7" r="0.7" t="0.75" header="0.3" footer="0.3"/>
    <c:pageSetup/>
  </c:printSettings>
</c:chartSpace>
</file>

<file path=xl/charts/chart186.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a:pPr>
            <a:r>
              <a:rPr lang="pt-PT"/>
              <a:t>MTBF - </a:t>
            </a:r>
            <a:r>
              <a:rPr lang="pt-PT" sz="1800" b="1" i="0" u="none" strike="noStrike" baseline="0">
                <a:effectLst/>
              </a:rPr>
              <a:t>Incinerador3 - Precipitador</a:t>
            </a:r>
            <a:endParaRPr lang="pt-PT" baseline="0"/>
          </a:p>
        </c:rich>
      </c:tx>
      <c:layout/>
      <c:overlay val="0"/>
    </c:title>
    <c:autoTitleDeleted val="0"/>
    <c:view3D>
      <c:rotX val="10"/>
      <c:hPercent val="100"/>
      <c:rotY val="70"/>
      <c:depthPercent val="100"/>
      <c:rAngAx val="0"/>
      <c:perspective val="0"/>
    </c:view3D>
    <c:floor>
      <c:thickness val="0"/>
    </c:floor>
    <c:sideWall>
      <c:thickness val="0"/>
    </c:sideWall>
    <c:backWall>
      <c:thickness val="0"/>
    </c:backWall>
    <c:plotArea>
      <c:layout>
        <c:manualLayout>
          <c:layoutTarget val="inner"/>
          <c:xMode val="edge"/>
          <c:yMode val="edge"/>
          <c:x val="7.0883357626873478E-2"/>
          <c:y val="0.23228055962803945"/>
          <c:w val="0.70223214622210628"/>
          <c:h val="0.60242701087055972"/>
        </c:manualLayout>
      </c:layout>
      <c:bar3DChart>
        <c:barDir val="col"/>
        <c:grouping val="standard"/>
        <c:varyColors val="0"/>
        <c:ser>
          <c:idx val="5"/>
          <c:order val="0"/>
          <c:tx>
            <c:v>2010</c:v>
          </c:tx>
          <c:invertIfNegative val="0"/>
          <c:cat>
            <c:numLit>
              <c:formatCode>General</c:formatCode>
              <c:ptCount val="1"/>
              <c:pt idx="0">
                <c:v>2015</c:v>
              </c:pt>
            </c:numLit>
          </c:cat>
          <c:val>
            <c:numLit>
              <c:formatCode>General</c:formatCode>
              <c:ptCount val="1"/>
              <c:pt idx="0">
                <c:v>0</c:v>
              </c:pt>
            </c:numLit>
          </c:val>
        </c:ser>
        <c:ser>
          <c:idx val="4"/>
          <c:order val="1"/>
          <c:tx>
            <c:v>2011</c:v>
          </c:tx>
          <c:invertIfNegative val="0"/>
          <c:dLbls>
            <c:txPr>
              <a:bodyPr rot="0" vert="horz" anchor="t" anchorCtr="0"/>
              <a:lstStyle/>
              <a:p>
                <a:pPr>
                  <a:defRPr/>
                </a:pPr>
                <a:endParaRPr lang="pt-PT"/>
              </a:p>
            </c:txPr>
            <c:showLegendKey val="0"/>
            <c:showVal val="1"/>
            <c:showCatName val="0"/>
            <c:showSerName val="0"/>
            <c:showPercent val="0"/>
            <c:showBubbleSize val="0"/>
            <c:showLeaderLines val="0"/>
          </c:dLbls>
          <c:cat>
            <c:numLit>
              <c:formatCode>General</c:formatCode>
              <c:ptCount val="1"/>
              <c:pt idx="0">
                <c:v>2015</c:v>
              </c:pt>
            </c:numLit>
          </c:cat>
          <c:val>
            <c:numRef>
              <c:f>'2011 - MTBF, MTTF, Exponencial'!$Z$46</c:f>
              <c:numCache>
                <c:formatCode>General</c:formatCode>
                <c:ptCount val="1"/>
                <c:pt idx="0">
                  <c:v>359</c:v>
                </c:pt>
              </c:numCache>
            </c:numRef>
          </c:val>
        </c:ser>
        <c:ser>
          <c:idx val="3"/>
          <c:order val="2"/>
          <c:tx>
            <c:v>2012</c:v>
          </c:tx>
          <c:invertIfNegative val="0"/>
          <c:cat>
            <c:numLit>
              <c:formatCode>General</c:formatCode>
              <c:ptCount val="1"/>
              <c:pt idx="0">
                <c:v>2015</c:v>
              </c:pt>
            </c:numLit>
          </c:cat>
          <c:val>
            <c:numLit>
              <c:formatCode>General</c:formatCode>
              <c:ptCount val="1"/>
              <c:pt idx="0">
                <c:v>0</c:v>
              </c:pt>
            </c:numLit>
          </c:val>
        </c:ser>
        <c:ser>
          <c:idx val="2"/>
          <c:order val="3"/>
          <c:tx>
            <c:v>2013</c:v>
          </c:tx>
          <c:invertIfNegative val="0"/>
          <c:cat>
            <c:numLit>
              <c:formatCode>General</c:formatCode>
              <c:ptCount val="1"/>
              <c:pt idx="0">
                <c:v>2015</c:v>
              </c:pt>
            </c:numLit>
          </c:cat>
          <c:val>
            <c:numRef>
              <c:f>'2013 - MTBF, MTTF, Exponencial'!$Z$38</c:f>
              <c:numCache>
                <c:formatCode>General</c:formatCode>
                <c:ptCount val="1"/>
                <c:pt idx="0">
                  <c:v>359</c:v>
                </c:pt>
              </c:numCache>
            </c:numRef>
          </c:val>
        </c:ser>
        <c:ser>
          <c:idx val="1"/>
          <c:order val="4"/>
          <c:tx>
            <c:v>2014</c:v>
          </c:tx>
          <c:invertIfNegative val="0"/>
          <c:cat>
            <c:numLit>
              <c:formatCode>General</c:formatCode>
              <c:ptCount val="1"/>
              <c:pt idx="0">
                <c:v>2015</c:v>
              </c:pt>
            </c:numLit>
          </c:cat>
          <c:val>
            <c:numLit>
              <c:formatCode>General</c:formatCode>
              <c:ptCount val="1"/>
              <c:pt idx="0">
                <c:v>0</c:v>
              </c:pt>
            </c:numLit>
          </c:val>
        </c:ser>
        <c:ser>
          <c:idx val="0"/>
          <c:order val="5"/>
          <c:tx>
            <c:v>2015</c:v>
          </c:tx>
          <c:invertIfNegative val="0"/>
          <c:cat>
            <c:numLit>
              <c:formatCode>General</c:formatCode>
              <c:ptCount val="1"/>
              <c:pt idx="0">
                <c:v>2015</c:v>
              </c:pt>
            </c:numLit>
          </c:cat>
          <c:val>
            <c:numLit>
              <c:formatCode>General</c:formatCode>
              <c:ptCount val="1"/>
              <c:pt idx="0">
                <c:v>0</c:v>
              </c:pt>
            </c:numLit>
          </c:val>
        </c:ser>
        <c:dLbls>
          <c:showLegendKey val="0"/>
          <c:showVal val="1"/>
          <c:showCatName val="0"/>
          <c:showSerName val="0"/>
          <c:showPercent val="0"/>
          <c:showBubbleSize val="0"/>
        </c:dLbls>
        <c:gapWidth val="300"/>
        <c:shape val="box"/>
        <c:axId val="126744064"/>
        <c:axId val="126745600"/>
        <c:axId val="126684672"/>
      </c:bar3DChart>
      <c:catAx>
        <c:axId val="126744064"/>
        <c:scaling>
          <c:orientation val="minMax"/>
        </c:scaling>
        <c:delete val="1"/>
        <c:axPos val="b"/>
        <c:numFmt formatCode="General" sourceLinked="1"/>
        <c:majorTickMark val="none"/>
        <c:minorTickMark val="none"/>
        <c:tickLblPos val="nextTo"/>
        <c:crossAx val="126745600"/>
        <c:crosses val="autoZero"/>
        <c:auto val="1"/>
        <c:lblAlgn val="ctr"/>
        <c:lblOffset val="100"/>
        <c:noMultiLvlLbl val="0"/>
      </c:catAx>
      <c:valAx>
        <c:axId val="126745600"/>
        <c:scaling>
          <c:orientation val="minMax"/>
        </c:scaling>
        <c:delete val="0"/>
        <c:axPos val="l"/>
        <c:majorGridlines/>
        <c:minorGridlines/>
        <c:numFmt formatCode="General" sourceLinked="1"/>
        <c:majorTickMark val="out"/>
        <c:minorTickMark val="none"/>
        <c:tickLblPos val="nextTo"/>
        <c:crossAx val="126744064"/>
        <c:crosses val="autoZero"/>
        <c:crossBetween val="between"/>
      </c:valAx>
      <c:serAx>
        <c:axId val="126684672"/>
        <c:scaling>
          <c:orientation val="minMax"/>
        </c:scaling>
        <c:delete val="1"/>
        <c:axPos val="b"/>
        <c:majorTickMark val="none"/>
        <c:minorTickMark val="none"/>
        <c:tickLblPos val="nextTo"/>
        <c:crossAx val="126745600"/>
        <c:crosses val="autoZero"/>
      </c:serAx>
    </c:plotArea>
    <c:legend>
      <c:legendPos val="r"/>
      <c:layout/>
      <c:overlay val="0"/>
    </c:legend>
    <c:plotVisOnly val="1"/>
    <c:dispBlanksAs val="gap"/>
    <c:showDLblsOverMax val="0"/>
  </c:chart>
  <c:printSettings>
    <c:headerFooter/>
    <c:pageMargins b="0.75" l="0.7" r="0.7" t="0.75" header="0.3" footer="0.3"/>
    <c:pageSetup/>
  </c:printSettings>
</c:chartSpace>
</file>

<file path=xl/charts/chart187.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a:pPr>
            <a:r>
              <a:rPr lang="pt-PT"/>
              <a:t>MTBF - Incinerador3</a:t>
            </a:r>
            <a:r>
              <a:rPr lang="pt-PT" baseline="0"/>
              <a:t> - Calcinador</a:t>
            </a:r>
          </a:p>
        </c:rich>
      </c:tx>
      <c:layout/>
      <c:overlay val="0"/>
    </c:title>
    <c:autoTitleDeleted val="0"/>
    <c:view3D>
      <c:rotX val="10"/>
      <c:hPercent val="100"/>
      <c:rotY val="70"/>
      <c:depthPercent val="100"/>
      <c:rAngAx val="0"/>
      <c:perspective val="0"/>
    </c:view3D>
    <c:floor>
      <c:thickness val="0"/>
    </c:floor>
    <c:sideWall>
      <c:thickness val="0"/>
    </c:sideWall>
    <c:backWall>
      <c:thickness val="0"/>
    </c:backWall>
    <c:plotArea>
      <c:layout>
        <c:manualLayout>
          <c:layoutTarget val="inner"/>
          <c:xMode val="edge"/>
          <c:yMode val="edge"/>
          <c:x val="7.0883357626873478E-2"/>
          <c:y val="0.23228055962803945"/>
          <c:w val="0.70223214622210628"/>
          <c:h val="0.60242701087055972"/>
        </c:manualLayout>
      </c:layout>
      <c:bar3DChart>
        <c:barDir val="col"/>
        <c:grouping val="standard"/>
        <c:varyColors val="0"/>
        <c:ser>
          <c:idx val="5"/>
          <c:order val="0"/>
          <c:tx>
            <c:v>2010</c:v>
          </c:tx>
          <c:invertIfNegative val="0"/>
          <c:cat>
            <c:numLit>
              <c:formatCode>General</c:formatCode>
              <c:ptCount val="1"/>
              <c:pt idx="0">
                <c:v>2015</c:v>
              </c:pt>
            </c:numLit>
          </c:cat>
          <c:val>
            <c:numLit>
              <c:formatCode>General</c:formatCode>
              <c:ptCount val="1"/>
              <c:pt idx="0">
                <c:v>0</c:v>
              </c:pt>
            </c:numLit>
          </c:val>
        </c:ser>
        <c:ser>
          <c:idx val="4"/>
          <c:order val="1"/>
          <c:tx>
            <c:v>2011</c:v>
          </c:tx>
          <c:invertIfNegative val="0"/>
          <c:dLbls>
            <c:txPr>
              <a:bodyPr rot="0" vert="horz" anchor="t" anchorCtr="0"/>
              <a:lstStyle/>
              <a:p>
                <a:pPr>
                  <a:defRPr/>
                </a:pPr>
                <a:endParaRPr lang="pt-PT"/>
              </a:p>
            </c:txPr>
            <c:showLegendKey val="0"/>
            <c:showVal val="1"/>
            <c:showCatName val="0"/>
            <c:showSerName val="0"/>
            <c:showPercent val="0"/>
            <c:showBubbleSize val="0"/>
            <c:showLeaderLines val="0"/>
          </c:dLbls>
          <c:cat>
            <c:numLit>
              <c:formatCode>General</c:formatCode>
              <c:ptCount val="1"/>
              <c:pt idx="0">
                <c:v>2015</c:v>
              </c:pt>
            </c:numLit>
          </c:cat>
          <c:val>
            <c:numRef>
              <c:f>'2011 - MTBF, MTTF, Exponencial'!$Z$48</c:f>
              <c:numCache>
                <c:formatCode>General</c:formatCode>
                <c:ptCount val="1"/>
                <c:pt idx="0">
                  <c:v>359</c:v>
                </c:pt>
              </c:numCache>
            </c:numRef>
          </c:val>
        </c:ser>
        <c:ser>
          <c:idx val="3"/>
          <c:order val="2"/>
          <c:tx>
            <c:v>2012</c:v>
          </c:tx>
          <c:invertIfNegative val="0"/>
          <c:cat>
            <c:numLit>
              <c:formatCode>General</c:formatCode>
              <c:ptCount val="1"/>
              <c:pt idx="0">
                <c:v>2015</c:v>
              </c:pt>
            </c:numLit>
          </c:cat>
          <c:val>
            <c:numLit>
              <c:formatCode>General</c:formatCode>
              <c:ptCount val="1"/>
              <c:pt idx="0">
                <c:v>0</c:v>
              </c:pt>
            </c:numLit>
          </c:val>
        </c:ser>
        <c:ser>
          <c:idx val="2"/>
          <c:order val="3"/>
          <c:tx>
            <c:v>2013</c:v>
          </c:tx>
          <c:invertIfNegative val="0"/>
          <c:cat>
            <c:numLit>
              <c:formatCode>General</c:formatCode>
              <c:ptCount val="1"/>
              <c:pt idx="0">
                <c:v>2015</c:v>
              </c:pt>
            </c:numLit>
          </c:cat>
          <c:val>
            <c:numRef>
              <c:f>'2013 - MTBF, MTTF, Exponencial'!$Z$41</c:f>
              <c:numCache>
                <c:formatCode>General</c:formatCode>
                <c:ptCount val="1"/>
                <c:pt idx="0">
                  <c:v>179</c:v>
                </c:pt>
              </c:numCache>
            </c:numRef>
          </c:val>
        </c:ser>
        <c:ser>
          <c:idx val="1"/>
          <c:order val="4"/>
          <c:tx>
            <c:v>2014</c:v>
          </c:tx>
          <c:invertIfNegative val="0"/>
          <c:cat>
            <c:numLit>
              <c:formatCode>General</c:formatCode>
              <c:ptCount val="1"/>
              <c:pt idx="0">
                <c:v>2015</c:v>
              </c:pt>
            </c:numLit>
          </c:cat>
          <c:val>
            <c:numLit>
              <c:formatCode>General</c:formatCode>
              <c:ptCount val="1"/>
              <c:pt idx="0">
                <c:v>0</c:v>
              </c:pt>
            </c:numLit>
          </c:val>
        </c:ser>
        <c:ser>
          <c:idx val="0"/>
          <c:order val="5"/>
          <c:tx>
            <c:v>2015</c:v>
          </c:tx>
          <c:invertIfNegative val="0"/>
          <c:cat>
            <c:numLit>
              <c:formatCode>General</c:formatCode>
              <c:ptCount val="1"/>
              <c:pt idx="0">
                <c:v>2015</c:v>
              </c:pt>
            </c:numLit>
          </c:cat>
          <c:val>
            <c:numLit>
              <c:formatCode>General</c:formatCode>
              <c:ptCount val="1"/>
              <c:pt idx="0">
                <c:v>0</c:v>
              </c:pt>
            </c:numLit>
          </c:val>
        </c:ser>
        <c:dLbls>
          <c:showLegendKey val="0"/>
          <c:showVal val="1"/>
          <c:showCatName val="0"/>
          <c:showSerName val="0"/>
          <c:showPercent val="0"/>
          <c:showBubbleSize val="0"/>
        </c:dLbls>
        <c:gapWidth val="300"/>
        <c:shape val="box"/>
        <c:axId val="126868864"/>
        <c:axId val="126891136"/>
        <c:axId val="126815296"/>
      </c:bar3DChart>
      <c:catAx>
        <c:axId val="126868864"/>
        <c:scaling>
          <c:orientation val="minMax"/>
        </c:scaling>
        <c:delete val="1"/>
        <c:axPos val="b"/>
        <c:numFmt formatCode="General" sourceLinked="1"/>
        <c:majorTickMark val="none"/>
        <c:minorTickMark val="none"/>
        <c:tickLblPos val="nextTo"/>
        <c:crossAx val="126891136"/>
        <c:crosses val="autoZero"/>
        <c:auto val="1"/>
        <c:lblAlgn val="ctr"/>
        <c:lblOffset val="100"/>
        <c:noMultiLvlLbl val="0"/>
      </c:catAx>
      <c:valAx>
        <c:axId val="126891136"/>
        <c:scaling>
          <c:orientation val="minMax"/>
        </c:scaling>
        <c:delete val="0"/>
        <c:axPos val="l"/>
        <c:majorGridlines/>
        <c:minorGridlines/>
        <c:numFmt formatCode="General" sourceLinked="1"/>
        <c:majorTickMark val="out"/>
        <c:minorTickMark val="none"/>
        <c:tickLblPos val="nextTo"/>
        <c:crossAx val="126868864"/>
        <c:crosses val="autoZero"/>
        <c:crossBetween val="between"/>
      </c:valAx>
      <c:serAx>
        <c:axId val="126815296"/>
        <c:scaling>
          <c:orientation val="minMax"/>
        </c:scaling>
        <c:delete val="1"/>
        <c:axPos val="b"/>
        <c:majorTickMark val="none"/>
        <c:minorTickMark val="none"/>
        <c:tickLblPos val="nextTo"/>
        <c:crossAx val="126891136"/>
        <c:crosses val="autoZero"/>
      </c:serAx>
    </c:plotArea>
    <c:legend>
      <c:legendPos val="r"/>
      <c:layout/>
      <c:overlay val="0"/>
    </c:legend>
    <c:plotVisOnly val="1"/>
    <c:dispBlanksAs val="gap"/>
    <c:showDLblsOverMax val="0"/>
  </c:chart>
  <c:printSettings>
    <c:headerFooter/>
    <c:pageMargins b="0.75" l="0.7" r="0.7" t="0.75" header="0.3" footer="0.3"/>
    <c:pageSetup/>
  </c:printSettings>
</c:chartSpace>
</file>

<file path=xl/charts/chart188.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a:pPr>
            <a:r>
              <a:rPr lang="pt-PT"/>
              <a:t>MTBF - </a:t>
            </a:r>
            <a:r>
              <a:rPr lang="pt-PT" sz="1800" b="1" i="0" u="none" strike="noStrike" baseline="0">
                <a:effectLst/>
              </a:rPr>
              <a:t>Incinerador3 - Secador</a:t>
            </a:r>
            <a:endParaRPr lang="pt-PT" baseline="0"/>
          </a:p>
        </c:rich>
      </c:tx>
      <c:layout/>
      <c:overlay val="0"/>
    </c:title>
    <c:autoTitleDeleted val="0"/>
    <c:view3D>
      <c:rotX val="10"/>
      <c:hPercent val="100"/>
      <c:rotY val="70"/>
      <c:depthPercent val="100"/>
      <c:rAngAx val="0"/>
      <c:perspective val="0"/>
    </c:view3D>
    <c:floor>
      <c:thickness val="0"/>
    </c:floor>
    <c:sideWall>
      <c:thickness val="0"/>
    </c:sideWall>
    <c:backWall>
      <c:thickness val="0"/>
    </c:backWall>
    <c:plotArea>
      <c:layout>
        <c:manualLayout>
          <c:layoutTarget val="inner"/>
          <c:xMode val="edge"/>
          <c:yMode val="edge"/>
          <c:x val="7.0883357626873478E-2"/>
          <c:y val="0.23228055962803945"/>
          <c:w val="0.70223214622210628"/>
          <c:h val="0.60242701087055972"/>
        </c:manualLayout>
      </c:layout>
      <c:bar3DChart>
        <c:barDir val="col"/>
        <c:grouping val="standard"/>
        <c:varyColors val="0"/>
        <c:ser>
          <c:idx val="5"/>
          <c:order val="0"/>
          <c:tx>
            <c:v>2010</c:v>
          </c:tx>
          <c:invertIfNegative val="0"/>
          <c:cat>
            <c:numLit>
              <c:formatCode>General</c:formatCode>
              <c:ptCount val="1"/>
              <c:pt idx="0">
                <c:v>2015</c:v>
              </c:pt>
            </c:numLit>
          </c:cat>
          <c:val>
            <c:numRef>
              <c:f>'2010 - MTBF, MTTF, Exponencial'!$Z$19</c:f>
              <c:numCache>
                <c:formatCode>General</c:formatCode>
                <c:ptCount val="1"/>
                <c:pt idx="0">
                  <c:v>179</c:v>
                </c:pt>
              </c:numCache>
            </c:numRef>
          </c:val>
        </c:ser>
        <c:ser>
          <c:idx val="4"/>
          <c:order val="1"/>
          <c:tx>
            <c:v>2011</c:v>
          </c:tx>
          <c:invertIfNegative val="0"/>
          <c:dLbls>
            <c:txPr>
              <a:bodyPr rot="0" vert="horz" anchor="t" anchorCtr="0"/>
              <a:lstStyle/>
              <a:p>
                <a:pPr>
                  <a:defRPr/>
                </a:pPr>
                <a:endParaRPr lang="pt-PT"/>
              </a:p>
            </c:txPr>
            <c:showLegendKey val="0"/>
            <c:showVal val="1"/>
            <c:showCatName val="0"/>
            <c:showSerName val="0"/>
            <c:showPercent val="0"/>
            <c:showBubbleSize val="0"/>
            <c:showLeaderLines val="0"/>
          </c:dLbls>
          <c:cat>
            <c:numLit>
              <c:formatCode>General</c:formatCode>
              <c:ptCount val="1"/>
              <c:pt idx="0">
                <c:v>2015</c:v>
              </c:pt>
            </c:numLit>
          </c:cat>
          <c:val>
            <c:numLit>
              <c:formatCode>General</c:formatCode>
              <c:ptCount val="1"/>
              <c:pt idx="0">
                <c:v>0</c:v>
              </c:pt>
            </c:numLit>
          </c:val>
        </c:ser>
        <c:ser>
          <c:idx val="3"/>
          <c:order val="2"/>
          <c:tx>
            <c:v>2012</c:v>
          </c:tx>
          <c:invertIfNegative val="0"/>
          <c:cat>
            <c:numLit>
              <c:formatCode>General</c:formatCode>
              <c:ptCount val="1"/>
              <c:pt idx="0">
                <c:v>2015</c:v>
              </c:pt>
            </c:numLit>
          </c:cat>
          <c:val>
            <c:numRef>
              <c:f>'2012 - MTBF, MTTF, Exponencial'!$Z$38</c:f>
              <c:numCache>
                <c:formatCode>General</c:formatCode>
                <c:ptCount val="1"/>
                <c:pt idx="0">
                  <c:v>70</c:v>
                </c:pt>
              </c:numCache>
            </c:numRef>
          </c:val>
        </c:ser>
        <c:ser>
          <c:idx val="2"/>
          <c:order val="3"/>
          <c:tx>
            <c:v>2013</c:v>
          </c:tx>
          <c:invertIfNegative val="0"/>
          <c:cat>
            <c:numLit>
              <c:formatCode>General</c:formatCode>
              <c:ptCount val="1"/>
              <c:pt idx="0">
                <c:v>2015</c:v>
              </c:pt>
            </c:numLit>
          </c:cat>
          <c:val>
            <c:numRef>
              <c:f>'2013 - MTBF, MTTF, Exponencial'!$Z$17</c:f>
              <c:numCache>
                <c:formatCode>General</c:formatCode>
                <c:ptCount val="1"/>
                <c:pt idx="0">
                  <c:v>359</c:v>
                </c:pt>
              </c:numCache>
            </c:numRef>
          </c:val>
        </c:ser>
        <c:ser>
          <c:idx val="1"/>
          <c:order val="4"/>
          <c:tx>
            <c:v>2014</c:v>
          </c:tx>
          <c:invertIfNegative val="0"/>
          <c:cat>
            <c:numLit>
              <c:formatCode>General</c:formatCode>
              <c:ptCount val="1"/>
              <c:pt idx="0">
                <c:v>2015</c:v>
              </c:pt>
            </c:numLit>
          </c:cat>
          <c:val>
            <c:numLit>
              <c:formatCode>General</c:formatCode>
              <c:ptCount val="1"/>
              <c:pt idx="0">
                <c:v>0</c:v>
              </c:pt>
            </c:numLit>
          </c:val>
        </c:ser>
        <c:ser>
          <c:idx val="0"/>
          <c:order val="5"/>
          <c:tx>
            <c:v>2015</c:v>
          </c:tx>
          <c:invertIfNegative val="0"/>
          <c:cat>
            <c:numLit>
              <c:formatCode>General</c:formatCode>
              <c:ptCount val="1"/>
              <c:pt idx="0">
                <c:v>2015</c:v>
              </c:pt>
            </c:numLit>
          </c:cat>
          <c:val>
            <c:numLit>
              <c:formatCode>General</c:formatCode>
              <c:ptCount val="1"/>
              <c:pt idx="0">
                <c:v>0</c:v>
              </c:pt>
            </c:numLit>
          </c:val>
        </c:ser>
        <c:dLbls>
          <c:showLegendKey val="0"/>
          <c:showVal val="1"/>
          <c:showCatName val="0"/>
          <c:showSerName val="0"/>
          <c:showPercent val="0"/>
          <c:showBubbleSize val="0"/>
        </c:dLbls>
        <c:gapWidth val="300"/>
        <c:shape val="box"/>
        <c:axId val="127337984"/>
        <c:axId val="127339520"/>
        <c:axId val="126888576"/>
      </c:bar3DChart>
      <c:catAx>
        <c:axId val="127337984"/>
        <c:scaling>
          <c:orientation val="minMax"/>
        </c:scaling>
        <c:delete val="1"/>
        <c:axPos val="b"/>
        <c:numFmt formatCode="General" sourceLinked="1"/>
        <c:majorTickMark val="none"/>
        <c:minorTickMark val="none"/>
        <c:tickLblPos val="nextTo"/>
        <c:crossAx val="127339520"/>
        <c:crosses val="autoZero"/>
        <c:auto val="1"/>
        <c:lblAlgn val="ctr"/>
        <c:lblOffset val="100"/>
        <c:noMultiLvlLbl val="0"/>
      </c:catAx>
      <c:valAx>
        <c:axId val="127339520"/>
        <c:scaling>
          <c:orientation val="minMax"/>
        </c:scaling>
        <c:delete val="0"/>
        <c:axPos val="l"/>
        <c:majorGridlines/>
        <c:minorGridlines/>
        <c:numFmt formatCode="General" sourceLinked="1"/>
        <c:majorTickMark val="out"/>
        <c:minorTickMark val="none"/>
        <c:tickLblPos val="nextTo"/>
        <c:crossAx val="127337984"/>
        <c:crosses val="autoZero"/>
        <c:crossBetween val="between"/>
      </c:valAx>
      <c:serAx>
        <c:axId val="126888576"/>
        <c:scaling>
          <c:orientation val="minMax"/>
        </c:scaling>
        <c:delete val="1"/>
        <c:axPos val="b"/>
        <c:majorTickMark val="none"/>
        <c:minorTickMark val="none"/>
        <c:tickLblPos val="nextTo"/>
        <c:crossAx val="127339520"/>
        <c:crosses val="autoZero"/>
      </c:serAx>
    </c:plotArea>
    <c:legend>
      <c:legendPos val="r"/>
      <c:layout/>
      <c:overlay val="0"/>
    </c:legend>
    <c:plotVisOnly val="1"/>
    <c:dispBlanksAs val="gap"/>
    <c:showDLblsOverMax val="0"/>
  </c:chart>
  <c:printSettings>
    <c:headerFooter/>
    <c:pageMargins b="0.75" l="0.7" r="0.7" t="0.75" header="0.3" footer="0.3"/>
    <c:pageSetup/>
  </c:printSettings>
</c:chartSpace>
</file>

<file path=xl/charts/chart189.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a:pPr>
            <a:r>
              <a:rPr lang="pt-PT"/>
              <a:t>MTBF - CF31 -</a:t>
            </a:r>
            <a:r>
              <a:rPr lang="pt-PT" baseline="0"/>
              <a:t> Silo 1</a:t>
            </a:r>
          </a:p>
        </c:rich>
      </c:tx>
      <c:layout/>
      <c:overlay val="0"/>
    </c:title>
    <c:autoTitleDeleted val="0"/>
    <c:view3D>
      <c:rotX val="10"/>
      <c:hPercent val="100"/>
      <c:rotY val="70"/>
      <c:depthPercent val="100"/>
      <c:rAngAx val="0"/>
      <c:perspective val="0"/>
    </c:view3D>
    <c:floor>
      <c:thickness val="0"/>
    </c:floor>
    <c:sideWall>
      <c:thickness val="0"/>
    </c:sideWall>
    <c:backWall>
      <c:thickness val="0"/>
    </c:backWall>
    <c:plotArea>
      <c:layout>
        <c:manualLayout>
          <c:layoutTarget val="inner"/>
          <c:xMode val="edge"/>
          <c:yMode val="edge"/>
          <c:x val="7.0883357626873478E-2"/>
          <c:y val="0.23228055962803945"/>
          <c:w val="0.70223214622210628"/>
          <c:h val="0.60242701087055972"/>
        </c:manualLayout>
      </c:layout>
      <c:bar3DChart>
        <c:barDir val="col"/>
        <c:grouping val="standard"/>
        <c:varyColors val="0"/>
        <c:ser>
          <c:idx val="5"/>
          <c:order val="0"/>
          <c:tx>
            <c:v>2010</c:v>
          </c:tx>
          <c:invertIfNegative val="0"/>
          <c:cat>
            <c:numLit>
              <c:formatCode>General</c:formatCode>
              <c:ptCount val="1"/>
              <c:pt idx="0">
                <c:v>2015</c:v>
              </c:pt>
            </c:numLit>
          </c:cat>
          <c:val>
            <c:numLit>
              <c:formatCode>General</c:formatCode>
              <c:ptCount val="1"/>
              <c:pt idx="0">
                <c:v>0</c:v>
              </c:pt>
            </c:numLit>
          </c:val>
        </c:ser>
        <c:ser>
          <c:idx val="4"/>
          <c:order val="1"/>
          <c:tx>
            <c:v>2011</c:v>
          </c:tx>
          <c:invertIfNegative val="0"/>
          <c:dLbls>
            <c:txPr>
              <a:bodyPr rot="0" vert="horz" anchor="t" anchorCtr="0"/>
              <a:lstStyle/>
              <a:p>
                <a:pPr>
                  <a:defRPr/>
                </a:pPr>
                <a:endParaRPr lang="pt-PT"/>
              </a:p>
            </c:txPr>
            <c:showLegendKey val="0"/>
            <c:showVal val="1"/>
            <c:showCatName val="0"/>
            <c:showSerName val="0"/>
            <c:showPercent val="0"/>
            <c:showBubbleSize val="0"/>
            <c:showLeaderLines val="0"/>
          </c:dLbls>
          <c:cat>
            <c:numLit>
              <c:formatCode>General</c:formatCode>
              <c:ptCount val="1"/>
              <c:pt idx="0">
                <c:v>2015</c:v>
              </c:pt>
            </c:numLit>
          </c:cat>
          <c:val>
            <c:numLit>
              <c:formatCode>General</c:formatCode>
              <c:ptCount val="1"/>
              <c:pt idx="0">
                <c:v>0</c:v>
              </c:pt>
            </c:numLit>
          </c:val>
        </c:ser>
        <c:ser>
          <c:idx val="3"/>
          <c:order val="2"/>
          <c:tx>
            <c:v>2012</c:v>
          </c:tx>
          <c:invertIfNegative val="0"/>
          <c:cat>
            <c:numLit>
              <c:formatCode>General</c:formatCode>
              <c:ptCount val="1"/>
              <c:pt idx="0">
                <c:v>2015</c:v>
              </c:pt>
            </c:numLit>
          </c:cat>
          <c:val>
            <c:numLit>
              <c:formatCode>General</c:formatCode>
              <c:ptCount val="1"/>
              <c:pt idx="0">
                <c:v>0</c:v>
              </c:pt>
            </c:numLit>
          </c:val>
        </c:ser>
        <c:ser>
          <c:idx val="2"/>
          <c:order val="3"/>
          <c:tx>
            <c:v>2013</c:v>
          </c:tx>
          <c:invertIfNegative val="0"/>
          <c:cat>
            <c:numLit>
              <c:formatCode>General</c:formatCode>
              <c:ptCount val="1"/>
              <c:pt idx="0">
                <c:v>2015</c:v>
              </c:pt>
            </c:numLit>
          </c:cat>
          <c:val>
            <c:numLit>
              <c:formatCode>General</c:formatCode>
              <c:ptCount val="1"/>
              <c:pt idx="0">
                <c:v>0</c:v>
              </c:pt>
            </c:numLit>
          </c:val>
        </c:ser>
        <c:ser>
          <c:idx val="1"/>
          <c:order val="4"/>
          <c:tx>
            <c:v>2014</c:v>
          </c:tx>
          <c:invertIfNegative val="0"/>
          <c:cat>
            <c:numLit>
              <c:formatCode>General</c:formatCode>
              <c:ptCount val="1"/>
              <c:pt idx="0">
                <c:v>2015</c:v>
              </c:pt>
            </c:numLit>
          </c:cat>
          <c:val>
            <c:numLit>
              <c:formatCode>General</c:formatCode>
              <c:ptCount val="1"/>
              <c:pt idx="0">
                <c:v>0</c:v>
              </c:pt>
            </c:numLit>
          </c:val>
        </c:ser>
        <c:ser>
          <c:idx val="0"/>
          <c:order val="5"/>
          <c:tx>
            <c:v>2015</c:v>
          </c:tx>
          <c:invertIfNegative val="0"/>
          <c:cat>
            <c:numLit>
              <c:formatCode>General</c:formatCode>
              <c:ptCount val="1"/>
              <c:pt idx="0">
                <c:v>2015</c:v>
              </c:pt>
            </c:numLit>
          </c:cat>
          <c:val>
            <c:numLit>
              <c:formatCode>General</c:formatCode>
              <c:ptCount val="1"/>
              <c:pt idx="0">
                <c:v>0</c:v>
              </c:pt>
            </c:numLit>
          </c:val>
        </c:ser>
        <c:dLbls>
          <c:showLegendKey val="0"/>
          <c:showVal val="1"/>
          <c:showCatName val="0"/>
          <c:showSerName val="0"/>
          <c:showPercent val="0"/>
          <c:showBubbleSize val="0"/>
        </c:dLbls>
        <c:gapWidth val="300"/>
        <c:shape val="box"/>
        <c:axId val="127397248"/>
        <c:axId val="127149184"/>
        <c:axId val="126941376"/>
      </c:bar3DChart>
      <c:catAx>
        <c:axId val="127397248"/>
        <c:scaling>
          <c:orientation val="minMax"/>
        </c:scaling>
        <c:delete val="1"/>
        <c:axPos val="b"/>
        <c:numFmt formatCode="General" sourceLinked="1"/>
        <c:majorTickMark val="none"/>
        <c:minorTickMark val="none"/>
        <c:tickLblPos val="nextTo"/>
        <c:crossAx val="127149184"/>
        <c:crosses val="autoZero"/>
        <c:auto val="1"/>
        <c:lblAlgn val="ctr"/>
        <c:lblOffset val="100"/>
        <c:noMultiLvlLbl val="0"/>
      </c:catAx>
      <c:valAx>
        <c:axId val="127149184"/>
        <c:scaling>
          <c:orientation val="minMax"/>
        </c:scaling>
        <c:delete val="0"/>
        <c:axPos val="l"/>
        <c:majorGridlines/>
        <c:minorGridlines/>
        <c:numFmt formatCode="General" sourceLinked="1"/>
        <c:majorTickMark val="out"/>
        <c:minorTickMark val="none"/>
        <c:tickLblPos val="nextTo"/>
        <c:crossAx val="127397248"/>
        <c:crosses val="autoZero"/>
        <c:crossBetween val="between"/>
      </c:valAx>
      <c:serAx>
        <c:axId val="126941376"/>
        <c:scaling>
          <c:orientation val="minMax"/>
        </c:scaling>
        <c:delete val="1"/>
        <c:axPos val="b"/>
        <c:majorTickMark val="none"/>
        <c:minorTickMark val="none"/>
        <c:tickLblPos val="nextTo"/>
        <c:crossAx val="127149184"/>
        <c:crosses val="autoZero"/>
      </c:serAx>
    </c:plotArea>
    <c:legend>
      <c:legendPos val="r"/>
      <c:layout/>
      <c:overlay val="0"/>
    </c:legend>
    <c:plotVisOnly val="1"/>
    <c:dispBlanksAs val="gap"/>
    <c:showDLblsOverMax val="0"/>
  </c:chart>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Total de avarias Incinerador 2</c:v>
          </c:tx>
          <c:invertIfNegative val="0"/>
          <c:dLbls>
            <c:numFmt formatCode="#,##0;\-#,##0" sourceLinked="0"/>
            <c:txPr>
              <a:bodyPr/>
              <a:lstStyle/>
              <a:p>
                <a:pPr>
                  <a:defRPr b="1"/>
                </a:pPr>
                <a:endParaRPr lang="pt-PT"/>
              </a:p>
            </c:txPr>
            <c:showLegendKey val="0"/>
            <c:showVal val="1"/>
            <c:showCatName val="0"/>
            <c:showSerName val="0"/>
            <c:showPercent val="0"/>
            <c:showBubbleSize val="0"/>
            <c:showLeaderLines val="0"/>
          </c:dLbls>
          <c:cat>
            <c:numRef>
              <c:f>'2014 - Gráficos'!$F$8:$F$12</c:f>
              <c:numCache>
                <c:formatCode>General</c:formatCode>
                <c:ptCount val="5"/>
                <c:pt idx="0">
                  <c:v>20</c:v>
                </c:pt>
                <c:pt idx="1">
                  <c:v>92</c:v>
                </c:pt>
                <c:pt idx="2">
                  <c:v>97</c:v>
                </c:pt>
                <c:pt idx="3">
                  <c:v>139</c:v>
                </c:pt>
                <c:pt idx="4">
                  <c:v>256</c:v>
                </c:pt>
              </c:numCache>
            </c:numRef>
          </c:cat>
          <c:val>
            <c:numRef>
              <c:f>'2014 - Gráficos'!$G$9:$G$12</c:f>
              <c:numCache>
                <c:formatCode>0</c:formatCode>
                <c:ptCount val="4"/>
                <c:pt idx="0">
                  <c:v>1</c:v>
                </c:pt>
                <c:pt idx="1">
                  <c:v>1</c:v>
                </c:pt>
                <c:pt idx="2">
                  <c:v>1</c:v>
                </c:pt>
                <c:pt idx="3">
                  <c:v>1</c:v>
                </c:pt>
              </c:numCache>
            </c:numRef>
          </c:val>
        </c:ser>
        <c:dLbls>
          <c:showLegendKey val="0"/>
          <c:showVal val="0"/>
          <c:showCatName val="0"/>
          <c:showSerName val="0"/>
          <c:showPercent val="0"/>
          <c:showBubbleSize val="0"/>
        </c:dLbls>
        <c:gapWidth val="300"/>
        <c:axId val="107300736"/>
        <c:axId val="107302272"/>
      </c:barChart>
      <c:catAx>
        <c:axId val="107300736"/>
        <c:scaling>
          <c:orientation val="minMax"/>
        </c:scaling>
        <c:delete val="0"/>
        <c:axPos val="b"/>
        <c:numFmt formatCode="General" sourceLinked="1"/>
        <c:majorTickMark val="none"/>
        <c:minorTickMark val="none"/>
        <c:tickLblPos val="nextTo"/>
        <c:crossAx val="107302272"/>
        <c:crosses val="autoZero"/>
        <c:auto val="1"/>
        <c:lblAlgn val="ctr"/>
        <c:lblOffset val="100"/>
        <c:noMultiLvlLbl val="0"/>
      </c:catAx>
      <c:valAx>
        <c:axId val="107302272"/>
        <c:scaling>
          <c:orientation val="minMax"/>
        </c:scaling>
        <c:delete val="0"/>
        <c:axPos val="l"/>
        <c:majorGridlines/>
        <c:minorGridlines/>
        <c:numFmt formatCode="0" sourceLinked="1"/>
        <c:majorTickMark val="out"/>
        <c:minorTickMark val="none"/>
        <c:tickLblPos val="nextTo"/>
        <c:crossAx val="107300736"/>
        <c:crosses val="autoZero"/>
        <c:crossBetween val="between"/>
      </c:valAx>
    </c:plotArea>
    <c:legend>
      <c:legendPos val="r"/>
      <c:layout/>
      <c:overlay val="0"/>
    </c:legend>
    <c:plotVisOnly val="1"/>
    <c:dispBlanksAs val="gap"/>
    <c:showDLblsOverMax val="0"/>
  </c:chart>
  <c:printSettings>
    <c:headerFooter/>
    <c:pageMargins b="0.75" l="0.7" r="0.7" t="0.75" header="0.3" footer="0.3"/>
    <c:pageSetup/>
  </c:printSettings>
</c:chartSpace>
</file>

<file path=xl/charts/chart190.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a:pPr>
            <a:r>
              <a:rPr lang="pt-PT"/>
              <a:t>MTBF - CF31 -</a:t>
            </a:r>
            <a:r>
              <a:rPr lang="pt-PT" baseline="0"/>
              <a:t> Precipitador</a:t>
            </a:r>
          </a:p>
        </c:rich>
      </c:tx>
      <c:layout/>
      <c:overlay val="0"/>
    </c:title>
    <c:autoTitleDeleted val="0"/>
    <c:view3D>
      <c:rotX val="10"/>
      <c:hPercent val="100"/>
      <c:rotY val="70"/>
      <c:depthPercent val="100"/>
      <c:rAngAx val="0"/>
      <c:perspective val="0"/>
    </c:view3D>
    <c:floor>
      <c:thickness val="0"/>
    </c:floor>
    <c:sideWall>
      <c:thickness val="0"/>
    </c:sideWall>
    <c:backWall>
      <c:thickness val="0"/>
    </c:backWall>
    <c:plotArea>
      <c:layout>
        <c:manualLayout>
          <c:layoutTarget val="inner"/>
          <c:xMode val="edge"/>
          <c:yMode val="edge"/>
          <c:x val="7.0883357626873478E-2"/>
          <c:y val="0.23228055962803945"/>
          <c:w val="0.70223214622210628"/>
          <c:h val="0.60242701087055972"/>
        </c:manualLayout>
      </c:layout>
      <c:bar3DChart>
        <c:barDir val="col"/>
        <c:grouping val="standard"/>
        <c:varyColors val="0"/>
        <c:ser>
          <c:idx val="5"/>
          <c:order val="0"/>
          <c:tx>
            <c:v>2010</c:v>
          </c:tx>
          <c:invertIfNegative val="0"/>
          <c:cat>
            <c:numLit>
              <c:formatCode>General</c:formatCode>
              <c:ptCount val="1"/>
              <c:pt idx="0">
                <c:v>2015</c:v>
              </c:pt>
            </c:numLit>
          </c:cat>
          <c:val>
            <c:numRef>
              <c:f>'2010 - MTBF, MTTF, Exponencial'!$Z$30</c:f>
              <c:numCache>
                <c:formatCode>General</c:formatCode>
                <c:ptCount val="1"/>
                <c:pt idx="0">
                  <c:v>359</c:v>
                </c:pt>
              </c:numCache>
            </c:numRef>
          </c:val>
        </c:ser>
        <c:ser>
          <c:idx val="4"/>
          <c:order val="1"/>
          <c:tx>
            <c:v>2011</c:v>
          </c:tx>
          <c:invertIfNegative val="0"/>
          <c:dLbls>
            <c:txPr>
              <a:bodyPr rot="0" vert="horz" anchor="t" anchorCtr="0"/>
              <a:lstStyle/>
              <a:p>
                <a:pPr>
                  <a:defRPr/>
                </a:pPr>
                <a:endParaRPr lang="pt-PT"/>
              </a:p>
            </c:txPr>
            <c:showLegendKey val="0"/>
            <c:showVal val="1"/>
            <c:showCatName val="0"/>
            <c:showSerName val="0"/>
            <c:showPercent val="0"/>
            <c:showBubbleSize val="0"/>
            <c:showLeaderLines val="0"/>
          </c:dLbls>
          <c:cat>
            <c:numLit>
              <c:formatCode>General</c:formatCode>
              <c:ptCount val="1"/>
              <c:pt idx="0">
                <c:v>2015</c:v>
              </c:pt>
            </c:numLit>
          </c:cat>
          <c:val>
            <c:numRef>
              <c:f>'2011 - MTBF, MTTF, Exponencial'!$Z$54</c:f>
              <c:numCache>
                <c:formatCode>General</c:formatCode>
                <c:ptCount val="1"/>
                <c:pt idx="0">
                  <c:v>359</c:v>
                </c:pt>
              </c:numCache>
            </c:numRef>
          </c:val>
        </c:ser>
        <c:ser>
          <c:idx val="3"/>
          <c:order val="2"/>
          <c:tx>
            <c:v>2012</c:v>
          </c:tx>
          <c:invertIfNegative val="0"/>
          <c:cat>
            <c:numLit>
              <c:formatCode>General</c:formatCode>
              <c:ptCount val="1"/>
              <c:pt idx="0">
                <c:v>2015</c:v>
              </c:pt>
            </c:numLit>
          </c:cat>
          <c:val>
            <c:numRef>
              <c:f>'2012 - MTBF, MTTF, Exponencial'!$Z$59</c:f>
              <c:numCache>
                <c:formatCode>General</c:formatCode>
                <c:ptCount val="1"/>
                <c:pt idx="0">
                  <c:v>359</c:v>
                </c:pt>
              </c:numCache>
            </c:numRef>
          </c:val>
        </c:ser>
        <c:ser>
          <c:idx val="2"/>
          <c:order val="3"/>
          <c:tx>
            <c:v>2013</c:v>
          </c:tx>
          <c:invertIfNegative val="0"/>
          <c:cat>
            <c:numLit>
              <c:formatCode>General</c:formatCode>
              <c:ptCount val="1"/>
              <c:pt idx="0">
                <c:v>2015</c:v>
              </c:pt>
            </c:numLit>
          </c:cat>
          <c:val>
            <c:numLit>
              <c:formatCode>General</c:formatCode>
              <c:ptCount val="1"/>
              <c:pt idx="0">
                <c:v>0</c:v>
              </c:pt>
            </c:numLit>
          </c:val>
        </c:ser>
        <c:ser>
          <c:idx val="1"/>
          <c:order val="4"/>
          <c:tx>
            <c:v>2014</c:v>
          </c:tx>
          <c:invertIfNegative val="0"/>
          <c:cat>
            <c:numLit>
              <c:formatCode>General</c:formatCode>
              <c:ptCount val="1"/>
              <c:pt idx="0">
                <c:v>2015</c:v>
              </c:pt>
            </c:numLit>
          </c:cat>
          <c:val>
            <c:numLit>
              <c:formatCode>General</c:formatCode>
              <c:ptCount val="1"/>
              <c:pt idx="0">
                <c:v>0</c:v>
              </c:pt>
            </c:numLit>
          </c:val>
        </c:ser>
        <c:ser>
          <c:idx val="0"/>
          <c:order val="5"/>
          <c:tx>
            <c:v>2015</c:v>
          </c:tx>
          <c:invertIfNegative val="0"/>
          <c:cat>
            <c:numLit>
              <c:formatCode>General</c:formatCode>
              <c:ptCount val="1"/>
              <c:pt idx="0">
                <c:v>2015</c:v>
              </c:pt>
            </c:numLit>
          </c:cat>
          <c:val>
            <c:numLit>
              <c:formatCode>General</c:formatCode>
              <c:ptCount val="1"/>
              <c:pt idx="0">
                <c:v>0</c:v>
              </c:pt>
            </c:numLit>
          </c:val>
        </c:ser>
        <c:dLbls>
          <c:showLegendKey val="0"/>
          <c:showVal val="1"/>
          <c:showCatName val="0"/>
          <c:showSerName val="0"/>
          <c:showPercent val="0"/>
          <c:showBubbleSize val="0"/>
        </c:dLbls>
        <c:gapWidth val="300"/>
        <c:shape val="box"/>
        <c:axId val="127202816"/>
        <c:axId val="127204352"/>
        <c:axId val="127399680"/>
      </c:bar3DChart>
      <c:catAx>
        <c:axId val="127202816"/>
        <c:scaling>
          <c:orientation val="minMax"/>
        </c:scaling>
        <c:delete val="1"/>
        <c:axPos val="b"/>
        <c:numFmt formatCode="General" sourceLinked="1"/>
        <c:majorTickMark val="none"/>
        <c:minorTickMark val="none"/>
        <c:tickLblPos val="nextTo"/>
        <c:crossAx val="127204352"/>
        <c:crosses val="autoZero"/>
        <c:auto val="1"/>
        <c:lblAlgn val="ctr"/>
        <c:lblOffset val="100"/>
        <c:noMultiLvlLbl val="0"/>
      </c:catAx>
      <c:valAx>
        <c:axId val="127204352"/>
        <c:scaling>
          <c:orientation val="minMax"/>
        </c:scaling>
        <c:delete val="0"/>
        <c:axPos val="l"/>
        <c:majorGridlines/>
        <c:minorGridlines/>
        <c:numFmt formatCode="General" sourceLinked="1"/>
        <c:majorTickMark val="out"/>
        <c:minorTickMark val="none"/>
        <c:tickLblPos val="nextTo"/>
        <c:crossAx val="127202816"/>
        <c:crosses val="autoZero"/>
        <c:crossBetween val="between"/>
      </c:valAx>
      <c:serAx>
        <c:axId val="127399680"/>
        <c:scaling>
          <c:orientation val="minMax"/>
        </c:scaling>
        <c:delete val="1"/>
        <c:axPos val="b"/>
        <c:majorTickMark val="none"/>
        <c:minorTickMark val="none"/>
        <c:tickLblPos val="nextTo"/>
        <c:crossAx val="127204352"/>
        <c:crosses val="autoZero"/>
      </c:serAx>
    </c:plotArea>
    <c:legend>
      <c:legendPos val="r"/>
      <c:layout/>
      <c:overlay val="0"/>
    </c:legend>
    <c:plotVisOnly val="1"/>
    <c:dispBlanksAs val="gap"/>
    <c:showDLblsOverMax val="0"/>
  </c:chart>
  <c:printSettings>
    <c:headerFooter/>
    <c:pageMargins b="0.75" l="0.7" r="0.7" t="0.75" header="0.3" footer="0.3"/>
    <c:pageSetup/>
  </c:printSettings>
</c:chartSpace>
</file>

<file path=xl/charts/chart191.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a:pPr>
            <a:r>
              <a:rPr lang="pt-PT"/>
              <a:t>MTBF - CF31 -</a:t>
            </a:r>
            <a:r>
              <a:rPr lang="pt-PT" baseline="0"/>
              <a:t> Silo 2</a:t>
            </a:r>
          </a:p>
        </c:rich>
      </c:tx>
      <c:layout/>
      <c:overlay val="0"/>
    </c:title>
    <c:autoTitleDeleted val="0"/>
    <c:view3D>
      <c:rotX val="10"/>
      <c:hPercent val="100"/>
      <c:rotY val="70"/>
      <c:depthPercent val="100"/>
      <c:rAngAx val="0"/>
      <c:perspective val="0"/>
    </c:view3D>
    <c:floor>
      <c:thickness val="0"/>
    </c:floor>
    <c:sideWall>
      <c:thickness val="0"/>
    </c:sideWall>
    <c:backWall>
      <c:thickness val="0"/>
    </c:backWall>
    <c:plotArea>
      <c:layout>
        <c:manualLayout>
          <c:layoutTarget val="inner"/>
          <c:xMode val="edge"/>
          <c:yMode val="edge"/>
          <c:x val="7.0883357626873478E-2"/>
          <c:y val="0.23228055962803945"/>
          <c:w val="0.70223214622210628"/>
          <c:h val="0.60242701087055972"/>
        </c:manualLayout>
      </c:layout>
      <c:bar3DChart>
        <c:barDir val="col"/>
        <c:grouping val="standard"/>
        <c:varyColors val="0"/>
        <c:ser>
          <c:idx val="5"/>
          <c:order val="0"/>
          <c:tx>
            <c:v>2010</c:v>
          </c:tx>
          <c:invertIfNegative val="0"/>
          <c:cat>
            <c:numLit>
              <c:formatCode>General</c:formatCode>
              <c:ptCount val="1"/>
              <c:pt idx="0">
                <c:v>2015</c:v>
              </c:pt>
            </c:numLit>
          </c:cat>
          <c:val>
            <c:numLit>
              <c:formatCode>General</c:formatCode>
              <c:ptCount val="1"/>
              <c:pt idx="0">
                <c:v>0</c:v>
              </c:pt>
            </c:numLit>
          </c:val>
        </c:ser>
        <c:ser>
          <c:idx val="4"/>
          <c:order val="1"/>
          <c:tx>
            <c:v>2011</c:v>
          </c:tx>
          <c:invertIfNegative val="0"/>
          <c:dLbls>
            <c:txPr>
              <a:bodyPr rot="0" vert="horz" anchor="t" anchorCtr="0"/>
              <a:lstStyle/>
              <a:p>
                <a:pPr>
                  <a:defRPr/>
                </a:pPr>
                <a:endParaRPr lang="pt-PT"/>
              </a:p>
            </c:txPr>
            <c:showLegendKey val="0"/>
            <c:showVal val="1"/>
            <c:showCatName val="0"/>
            <c:showSerName val="0"/>
            <c:showPercent val="0"/>
            <c:showBubbleSize val="0"/>
            <c:showLeaderLines val="0"/>
          </c:dLbls>
          <c:cat>
            <c:numLit>
              <c:formatCode>General</c:formatCode>
              <c:ptCount val="1"/>
              <c:pt idx="0">
                <c:v>2015</c:v>
              </c:pt>
            </c:numLit>
          </c:cat>
          <c:val>
            <c:numLit>
              <c:formatCode>General</c:formatCode>
              <c:ptCount val="1"/>
              <c:pt idx="0">
                <c:v>0</c:v>
              </c:pt>
            </c:numLit>
          </c:val>
        </c:ser>
        <c:ser>
          <c:idx val="3"/>
          <c:order val="2"/>
          <c:tx>
            <c:v>2012</c:v>
          </c:tx>
          <c:invertIfNegative val="0"/>
          <c:cat>
            <c:numLit>
              <c:formatCode>General</c:formatCode>
              <c:ptCount val="1"/>
              <c:pt idx="0">
                <c:v>2015</c:v>
              </c:pt>
            </c:numLit>
          </c:cat>
          <c:val>
            <c:numLit>
              <c:formatCode>General</c:formatCode>
              <c:ptCount val="1"/>
              <c:pt idx="0">
                <c:v>0</c:v>
              </c:pt>
            </c:numLit>
          </c:val>
        </c:ser>
        <c:ser>
          <c:idx val="2"/>
          <c:order val="3"/>
          <c:tx>
            <c:v>2013</c:v>
          </c:tx>
          <c:invertIfNegative val="0"/>
          <c:cat>
            <c:numLit>
              <c:formatCode>General</c:formatCode>
              <c:ptCount val="1"/>
              <c:pt idx="0">
                <c:v>2015</c:v>
              </c:pt>
            </c:numLit>
          </c:cat>
          <c:val>
            <c:numLit>
              <c:formatCode>General</c:formatCode>
              <c:ptCount val="1"/>
              <c:pt idx="0">
                <c:v>0</c:v>
              </c:pt>
            </c:numLit>
          </c:val>
        </c:ser>
        <c:ser>
          <c:idx val="1"/>
          <c:order val="4"/>
          <c:tx>
            <c:v>2014</c:v>
          </c:tx>
          <c:invertIfNegative val="0"/>
          <c:cat>
            <c:numLit>
              <c:formatCode>General</c:formatCode>
              <c:ptCount val="1"/>
              <c:pt idx="0">
                <c:v>2015</c:v>
              </c:pt>
            </c:numLit>
          </c:cat>
          <c:val>
            <c:numLit>
              <c:formatCode>General</c:formatCode>
              <c:ptCount val="1"/>
              <c:pt idx="0">
                <c:v>0</c:v>
              </c:pt>
            </c:numLit>
          </c:val>
        </c:ser>
        <c:ser>
          <c:idx val="0"/>
          <c:order val="5"/>
          <c:tx>
            <c:v>2015</c:v>
          </c:tx>
          <c:invertIfNegative val="0"/>
          <c:cat>
            <c:numLit>
              <c:formatCode>General</c:formatCode>
              <c:ptCount val="1"/>
              <c:pt idx="0">
                <c:v>2015</c:v>
              </c:pt>
            </c:numLit>
          </c:cat>
          <c:val>
            <c:numLit>
              <c:formatCode>General</c:formatCode>
              <c:ptCount val="1"/>
              <c:pt idx="0">
                <c:v>0</c:v>
              </c:pt>
            </c:numLit>
          </c:val>
        </c:ser>
        <c:dLbls>
          <c:showLegendKey val="0"/>
          <c:showVal val="1"/>
          <c:showCatName val="0"/>
          <c:showSerName val="0"/>
          <c:showPercent val="0"/>
          <c:showBubbleSize val="0"/>
        </c:dLbls>
        <c:gapWidth val="300"/>
        <c:shape val="box"/>
        <c:axId val="127323520"/>
        <c:axId val="127411328"/>
        <c:axId val="127403328"/>
      </c:bar3DChart>
      <c:catAx>
        <c:axId val="127323520"/>
        <c:scaling>
          <c:orientation val="minMax"/>
        </c:scaling>
        <c:delete val="1"/>
        <c:axPos val="b"/>
        <c:numFmt formatCode="General" sourceLinked="1"/>
        <c:majorTickMark val="none"/>
        <c:minorTickMark val="none"/>
        <c:tickLblPos val="nextTo"/>
        <c:crossAx val="127411328"/>
        <c:crosses val="autoZero"/>
        <c:auto val="1"/>
        <c:lblAlgn val="ctr"/>
        <c:lblOffset val="100"/>
        <c:noMultiLvlLbl val="0"/>
      </c:catAx>
      <c:valAx>
        <c:axId val="127411328"/>
        <c:scaling>
          <c:orientation val="minMax"/>
        </c:scaling>
        <c:delete val="0"/>
        <c:axPos val="l"/>
        <c:majorGridlines/>
        <c:minorGridlines/>
        <c:numFmt formatCode="General" sourceLinked="1"/>
        <c:majorTickMark val="out"/>
        <c:minorTickMark val="none"/>
        <c:tickLblPos val="nextTo"/>
        <c:crossAx val="127323520"/>
        <c:crosses val="autoZero"/>
        <c:crossBetween val="between"/>
      </c:valAx>
      <c:serAx>
        <c:axId val="127403328"/>
        <c:scaling>
          <c:orientation val="minMax"/>
        </c:scaling>
        <c:delete val="1"/>
        <c:axPos val="b"/>
        <c:majorTickMark val="none"/>
        <c:minorTickMark val="none"/>
        <c:tickLblPos val="nextTo"/>
        <c:crossAx val="127411328"/>
        <c:crosses val="autoZero"/>
      </c:serAx>
    </c:plotArea>
    <c:legend>
      <c:legendPos val="r"/>
      <c:layout/>
      <c:overlay val="0"/>
    </c:legend>
    <c:plotVisOnly val="1"/>
    <c:dispBlanksAs val="gap"/>
    <c:showDLblsOverMax val="0"/>
  </c:chart>
  <c:printSettings>
    <c:headerFooter/>
    <c:pageMargins b="0.75" l="0.7" r="0.7" t="0.75" header="0.3" footer="0.3"/>
    <c:pageSetup/>
  </c:printSettings>
</c:chartSpace>
</file>

<file path=xl/charts/chart192.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a:pPr>
            <a:r>
              <a:rPr lang="pt-PT"/>
              <a:t>MTBF - CF31 -</a:t>
            </a:r>
            <a:r>
              <a:rPr lang="pt-PT" baseline="0"/>
              <a:t> Chaminé</a:t>
            </a:r>
          </a:p>
        </c:rich>
      </c:tx>
      <c:layout/>
      <c:overlay val="0"/>
    </c:title>
    <c:autoTitleDeleted val="0"/>
    <c:view3D>
      <c:rotX val="10"/>
      <c:hPercent val="100"/>
      <c:rotY val="70"/>
      <c:depthPercent val="100"/>
      <c:rAngAx val="0"/>
      <c:perspective val="0"/>
    </c:view3D>
    <c:floor>
      <c:thickness val="0"/>
    </c:floor>
    <c:sideWall>
      <c:thickness val="0"/>
    </c:sideWall>
    <c:backWall>
      <c:thickness val="0"/>
    </c:backWall>
    <c:plotArea>
      <c:layout>
        <c:manualLayout>
          <c:layoutTarget val="inner"/>
          <c:xMode val="edge"/>
          <c:yMode val="edge"/>
          <c:x val="7.0883357626873478E-2"/>
          <c:y val="0.23228055962803945"/>
          <c:w val="0.70223214622210628"/>
          <c:h val="0.60242701087055972"/>
        </c:manualLayout>
      </c:layout>
      <c:bar3DChart>
        <c:barDir val="col"/>
        <c:grouping val="standard"/>
        <c:varyColors val="0"/>
        <c:ser>
          <c:idx val="5"/>
          <c:order val="0"/>
          <c:tx>
            <c:v>2010</c:v>
          </c:tx>
          <c:invertIfNegative val="0"/>
          <c:cat>
            <c:numLit>
              <c:formatCode>General</c:formatCode>
              <c:ptCount val="1"/>
              <c:pt idx="0">
                <c:v>2015</c:v>
              </c:pt>
            </c:numLit>
          </c:cat>
          <c:val>
            <c:numLit>
              <c:formatCode>General</c:formatCode>
              <c:ptCount val="1"/>
              <c:pt idx="0">
                <c:v>0</c:v>
              </c:pt>
            </c:numLit>
          </c:val>
        </c:ser>
        <c:ser>
          <c:idx val="4"/>
          <c:order val="1"/>
          <c:tx>
            <c:v>2011</c:v>
          </c:tx>
          <c:invertIfNegative val="0"/>
          <c:dLbls>
            <c:txPr>
              <a:bodyPr rot="0" vert="horz" anchor="t" anchorCtr="0"/>
              <a:lstStyle/>
              <a:p>
                <a:pPr>
                  <a:defRPr/>
                </a:pPr>
                <a:endParaRPr lang="pt-PT"/>
              </a:p>
            </c:txPr>
            <c:showLegendKey val="0"/>
            <c:showVal val="1"/>
            <c:showCatName val="0"/>
            <c:showSerName val="0"/>
            <c:showPercent val="0"/>
            <c:showBubbleSize val="0"/>
            <c:showLeaderLines val="0"/>
          </c:dLbls>
          <c:cat>
            <c:numLit>
              <c:formatCode>General</c:formatCode>
              <c:ptCount val="1"/>
              <c:pt idx="0">
                <c:v>2015</c:v>
              </c:pt>
            </c:numLit>
          </c:cat>
          <c:val>
            <c:numRef>
              <c:f>'2011 - MTBF, MTTF, Exponencial'!$Z$38</c:f>
              <c:numCache>
                <c:formatCode>General</c:formatCode>
                <c:ptCount val="1"/>
                <c:pt idx="0">
                  <c:v>89</c:v>
                </c:pt>
              </c:numCache>
            </c:numRef>
          </c:val>
        </c:ser>
        <c:ser>
          <c:idx val="3"/>
          <c:order val="2"/>
          <c:tx>
            <c:v>2012</c:v>
          </c:tx>
          <c:invertIfNegative val="0"/>
          <c:cat>
            <c:numLit>
              <c:formatCode>General</c:formatCode>
              <c:ptCount val="1"/>
              <c:pt idx="0">
                <c:v>2015</c:v>
              </c:pt>
            </c:numLit>
          </c:cat>
          <c:val>
            <c:numRef>
              <c:f>'2012 - MTBF, MTTF, Exponencial'!$Z$57</c:f>
              <c:numCache>
                <c:formatCode>General</c:formatCode>
                <c:ptCount val="1"/>
                <c:pt idx="0">
                  <c:v>359</c:v>
                </c:pt>
              </c:numCache>
            </c:numRef>
          </c:val>
        </c:ser>
        <c:ser>
          <c:idx val="2"/>
          <c:order val="3"/>
          <c:tx>
            <c:v>2013</c:v>
          </c:tx>
          <c:invertIfNegative val="0"/>
          <c:cat>
            <c:numLit>
              <c:formatCode>General</c:formatCode>
              <c:ptCount val="1"/>
              <c:pt idx="0">
                <c:v>2015</c:v>
              </c:pt>
            </c:numLit>
          </c:cat>
          <c:val>
            <c:numLit>
              <c:formatCode>General</c:formatCode>
              <c:ptCount val="1"/>
              <c:pt idx="0">
                <c:v>0</c:v>
              </c:pt>
            </c:numLit>
          </c:val>
        </c:ser>
        <c:ser>
          <c:idx val="1"/>
          <c:order val="4"/>
          <c:tx>
            <c:v>2014</c:v>
          </c:tx>
          <c:invertIfNegative val="0"/>
          <c:cat>
            <c:numLit>
              <c:formatCode>General</c:formatCode>
              <c:ptCount val="1"/>
              <c:pt idx="0">
                <c:v>2015</c:v>
              </c:pt>
            </c:numLit>
          </c:cat>
          <c:val>
            <c:numRef>
              <c:f>'2014 - MTBF, MTTF, Exp, Weibull'!#REF!</c:f>
              <c:numCache>
                <c:formatCode>General</c:formatCode>
                <c:ptCount val="1"/>
                <c:pt idx="0">
                  <c:v>1</c:v>
                </c:pt>
              </c:numCache>
            </c:numRef>
          </c:val>
        </c:ser>
        <c:ser>
          <c:idx val="0"/>
          <c:order val="5"/>
          <c:tx>
            <c:v>2015</c:v>
          </c:tx>
          <c:invertIfNegative val="0"/>
          <c:cat>
            <c:numLit>
              <c:formatCode>General</c:formatCode>
              <c:ptCount val="1"/>
              <c:pt idx="0">
                <c:v>2015</c:v>
              </c:pt>
            </c:numLit>
          </c:cat>
          <c:val>
            <c:numRef>
              <c:f>'2015 - MTBF, MTTF, Exponencial'!$Z$33</c:f>
              <c:numCache>
                <c:formatCode>General</c:formatCode>
                <c:ptCount val="1"/>
                <c:pt idx="0">
                  <c:v>119</c:v>
                </c:pt>
              </c:numCache>
            </c:numRef>
          </c:val>
        </c:ser>
        <c:dLbls>
          <c:showLegendKey val="0"/>
          <c:showVal val="1"/>
          <c:showCatName val="0"/>
          <c:showSerName val="0"/>
          <c:showPercent val="0"/>
          <c:showBubbleSize val="0"/>
        </c:dLbls>
        <c:gapWidth val="300"/>
        <c:shape val="box"/>
        <c:axId val="127448576"/>
        <c:axId val="127450112"/>
        <c:axId val="127443840"/>
      </c:bar3DChart>
      <c:catAx>
        <c:axId val="127448576"/>
        <c:scaling>
          <c:orientation val="minMax"/>
        </c:scaling>
        <c:delete val="1"/>
        <c:axPos val="b"/>
        <c:numFmt formatCode="General" sourceLinked="1"/>
        <c:majorTickMark val="none"/>
        <c:minorTickMark val="none"/>
        <c:tickLblPos val="nextTo"/>
        <c:crossAx val="127450112"/>
        <c:crosses val="autoZero"/>
        <c:auto val="1"/>
        <c:lblAlgn val="ctr"/>
        <c:lblOffset val="100"/>
        <c:noMultiLvlLbl val="0"/>
      </c:catAx>
      <c:valAx>
        <c:axId val="127450112"/>
        <c:scaling>
          <c:orientation val="minMax"/>
        </c:scaling>
        <c:delete val="0"/>
        <c:axPos val="l"/>
        <c:majorGridlines/>
        <c:minorGridlines/>
        <c:numFmt formatCode="General" sourceLinked="1"/>
        <c:majorTickMark val="out"/>
        <c:minorTickMark val="none"/>
        <c:tickLblPos val="nextTo"/>
        <c:crossAx val="127448576"/>
        <c:crosses val="autoZero"/>
        <c:crossBetween val="between"/>
      </c:valAx>
      <c:serAx>
        <c:axId val="127443840"/>
        <c:scaling>
          <c:orientation val="minMax"/>
        </c:scaling>
        <c:delete val="1"/>
        <c:axPos val="b"/>
        <c:majorTickMark val="none"/>
        <c:minorTickMark val="none"/>
        <c:tickLblPos val="nextTo"/>
        <c:crossAx val="127450112"/>
        <c:crosses val="autoZero"/>
      </c:serAx>
    </c:plotArea>
    <c:legend>
      <c:legendPos val="r"/>
      <c:layout/>
      <c:overlay val="0"/>
    </c:legend>
    <c:plotVisOnly val="1"/>
    <c:dispBlanksAs val="gap"/>
    <c:showDLblsOverMax val="0"/>
  </c:chart>
  <c:printSettings>
    <c:headerFooter/>
    <c:pageMargins b="0.75" l="0.7" r="0.7" t="0.75" header="0.3" footer="0.3"/>
    <c:pageSetup/>
  </c:printSettings>
</c:chartSpace>
</file>

<file path=xl/charts/chart193.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a:pPr>
            <a:r>
              <a:rPr lang="pt-PT"/>
              <a:t>MTBF - CF41 -</a:t>
            </a:r>
            <a:r>
              <a:rPr lang="pt-PT" baseline="0"/>
              <a:t> Silo 1</a:t>
            </a:r>
          </a:p>
        </c:rich>
      </c:tx>
      <c:layout/>
      <c:overlay val="0"/>
    </c:title>
    <c:autoTitleDeleted val="0"/>
    <c:view3D>
      <c:rotX val="10"/>
      <c:hPercent val="100"/>
      <c:rotY val="70"/>
      <c:depthPercent val="100"/>
      <c:rAngAx val="0"/>
      <c:perspective val="0"/>
    </c:view3D>
    <c:floor>
      <c:thickness val="0"/>
    </c:floor>
    <c:sideWall>
      <c:thickness val="0"/>
    </c:sideWall>
    <c:backWall>
      <c:thickness val="0"/>
    </c:backWall>
    <c:plotArea>
      <c:layout>
        <c:manualLayout>
          <c:layoutTarget val="inner"/>
          <c:xMode val="edge"/>
          <c:yMode val="edge"/>
          <c:x val="7.0883357626873478E-2"/>
          <c:y val="0.23228055962803945"/>
          <c:w val="0.70223214622210628"/>
          <c:h val="0.60242701087055972"/>
        </c:manualLayout>
      </c:layout>
      <c:bar3DChart>
        <c:barDir val="col"/>
        <c:grouping val="standard"/>
        <c:varyColors val="0"/>
        <c:ser>
          <c:idx val="5"/>
          <c:order val="0"/>
          <c:tx>
            <c:v>2010</c:v>
          </c:tx>
          <c:invertIfNegative val="0"/>
          <c:cat>
            <c:numLit>
              <c:formatCode>General</c:formatCode>
              <c:ptCount val="1"/>
              <c:pt idx="0">
                <c:v>2015</c:v>
              </c:pt>
            </c:numLit>
          </c:cat>
          <c:val>
            <c:numLit>
              <c:formatCode>General</c:formatCode>
              <c:ptCount val="1"/>
              <c:pt idx="0">
                <c:v>0</c:v>
              </c:pt>
            </c:numLit>
          </c:val>
        </c:ser>
        <c:ser>
          <c:idx val="4"/>
          <c:order val="1"/>
          <c:tx>
            <c:v>2011</c:v>
          </c:tx>
          <c:invertIfNegative val="0"/>
          <c:dLbls>
            <c:txPr>
              <a:bodyPr rot="0" vert="horz" anchor="t" anchorCtr="0"/>
              <a:lstStyle/>
              <a:p>
                <a:pPr>
                  <a:defRPr/>
                </a:pPr>
                <a:endParaRPr lang="pt-PT"/>
              </a:p>
            </c:txPr>
            <c:showLegendKey val="0"/>
            <c:showVal val="1"/>
            <c:showCatName val="0"/>
            <c:showSerName val="0"/>
            <c:showPercent val="0"/>
            <c:showBubbleSize val="0"/>
            <c:showLeaderLines val="0"/>
          </c:dLbls>
          <c:cat>
            <c:numLit>
              <c:formatCode>General</c:formatCode>
              <c:ptCount val="1"/>
              <c:pt idx="0">
                <c:v>2015</c:v>
              </c:pt>
            </c:numLit>
          </c:cat>
          <c:val>
            <c:numLit>
              <c:formatCode>General</c:formatCode>
              <c:ptCount val="1"/>
              <c:pt idx="0">
                <c:v>0</c:v>
              </c:pt>
            </c:numLit>
          </c:val>
        </c:ser>
        <c:ser>
          <c:idx val="3"/>
          <c:order val="2"/>
          <c:tx>
            <c:v>2012</c:v>
          </c:tx>
          <c:invertIfNegative val="0"/>
          <c:cat>
            <c:numLit>
              <c:formatCode>General</c:formatCode>
              <c:ptCount val="1"/>
              <c:pt idx="0">
                <c:v>2015</c:v>
              </c:pt>
            </c:numLit>
          </c:cat>
          <c:val>
            <c:numLit>
              <c:formatCode>General</c:formatCode>
              <c:ptCount val="1"/>
              <c:pt idx="0">
                <c:v>0</c:v>
              </c:pt>
            </c:numLit>
          </c:val>
        </c:ser>
        <c:ser>
          <c:idx val="2"/>
          <c:order val="3"/>
          <c:tx>
            <c:v>2013</c:v>
          </c:tx>
          <c:invertIfNegative val="0"/>
          <c:cat>
            <c:numLit>
              <c:formatCode>General</c:formatCode>
              <c:ptCount val="1"/>
              <c:pt idx="0">
                <c:v>2015</c:v>
              </c:pt>
            </c:numLit>
          </c:cat>
          <c:val>
            <c:numLit>
              <c:formatCode>General</c:formatCode>
              <c:ptCount val="1"/>
              <c:pt idx="0">
                <c:v>0</c:v>
              </c:pt>
            </c:numLit>
          </c:val>
        </c:ser>
        <c:ser>
          <c:idx val="1"/>
          <c:order val="4"/>
          <c:tx>
            <c:v>2014</c:v>
          </c:tx>
          <c:invertIfNegative val="0"/>
          <c:cat>
            <c:numLit>
              <c:formatCode>General</c:formatCode>
              <c:ptCount val="1"/>
              <c:pt idx="0">
                <c:v>2015</c:v>
              </c:pt>
            </c:numLit>
          </c:cat>
          <c:val>
            <c:numLit>
              <c:formatCode>General</c:formatCode>
              <c:ptCount val="1"/>
              <c:pt idx="0">
                <c:v>0</c:v>
              </c:pt>
            </c:numLit>
          </c:val>
        </c:ser>
        <c:ser>
          <c:idx val="0"/>
          <c:order val="5"/>
          <c:tx>
            <c:v>2015</c:v>
          </c:tx>
          <c:invertIfNegative val="0"/>
          <c:cat>
            <c:numLit>
              <c:formatCode>General</c:formatCode>
              <c:ptCount val="1"/>
              <c:pt idx="0">
                <c:v>2015</c:v>
              </c:pt>
            </c:numLit>
          </c:cat>
          <c:val>
            <c:numLit>
              <c:formatCode>General</c:formatCode>
              <c:ptCount val="1"/>
              <c:pt idx="0">
                <c:v>0</c:v>
              </c:pt>
            </c:numLit>
          </c:val>
        </c:ser>
        <c:dLbls>
          <c:showLegendKey val="0"/>
          <c:showVal val="1"/>
          <c:showCatName val="0"/>
          <c:showSerName val="0"/>
          <c:showPercent val="0"/>
          <c:showBubbleSize val="0"/>
        </c:dLbls>
        <c:gapWidth val="300"/>
        <c:shape val="box"/>
        <c:axId val="127511936"/>
        <c:axId val="127530112"/>
        <c:axId val="127525312"/>
      </c:bar3DChart>
      <c:catAx>
        <c:axId val="127511936"/>
        <c:scaling>
          <c:orientation val="minMax"/>
        </c:scaling>
        <c:delete val="1"/>
        <c:axPos val="b"/>
        <c:numFmt formatCode="General" sourceLinked="1"/>
        <c:majorTickMark val="none"/>
        <c:minorTickMark val="none"/>
        <c:tickLblPos val="nextTo"/>
        <c:crossAx val="127530112"/>
        <c:crosses val="autoZero"/>
        <c:auto val="1"/>
        <c:lblAlgn val="ctr"/>
        <c:lblOffset val="100"/>
        <c:noMultiLvlLbl val="0"/>
      </c:catAx>
      <c:valAx>
        <c:axId val="127530112"/>
        <c:scaling>
          <c:orientation val="minMax"/>
        </c:scaling>
        <c:delete val="0"/>
        <c:axPos val="l"/>
        <c:majorGridlines/>
        <c:minorGridlines/>
        <c:numFmt formatCode="General" sourceLinked="1"/>
        <c:majorTickMark val="out"/>
        <c:minorTickMark val="none"/>
        <c:tickLblPos val="nextTo"/>
        <c:crossAx val="127511936"/>
        <c:crosses val="autoZero"/>
        <c:crossBetween val="between"/>
      </c:valAx>
      <c:serAx>
        <c:axId val="127525312"/>
        <c:scaling>
          <c:orientation val="minMax"/>
        </c:scaling>
        <c:delete val="1"/>
        <c:axPos val="b"/>
        <c:majorTickMark val="none"/>
        <c:minorTickMark val="none"/>
        <c:tickLblPos val="nextTo"/>
        <c:crossAx val="127530112"/>
        <c:crosses val="autoZero"/>
      </c:serAx>
    </c:plotArea>
    <c:legend>
      <c:legendPos val="r"/>
      <c:layout/>
      <c:overlay val="0"/>
    </c:legend>
    <c:plotVisOnly val="1"/>
    <c:dispBlanksAs val="gap"/>
    <c:showDLblsOverMax val="0"/>
  </c:chart>
  <c:printSettings>
    <c:headerFooter/>
    <c:pageMargins b="0.75" l="0.7" r="0.7" t="0.75" header="0.3" footer="0.3"/>
    <c:pageSetup/>
  </c:printSettings>
</c:chartSpace>
</file>

<file path=xl/charts/chart194.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a:pPr>
            <a:r>
              <a:rPr lang="pt-PT"/>
              <a:t>MTBF - CF41 -</a:t>
            </a:r>
            <a:r>
              <a:rPr lang="pt-PT" baseline="0"/>
              <a:t> Precipitador</a:t>
            </a:r>
          </a:p>
        </c:rich>
      </c:tx>
      <c:layout/>
      <c:overlay val="0"/>
    </c:title>
    <c:autoTitleDeleted val="0"/>
    <c:view3D>
      <c:rotX val="10"/>
      <c:hPercent val="100"/>
      <c:rotY val="70"/>
      <c:depthPercent val="100"/>
      <c:rAngAx val="0"/>
      <c:perspective val="0"/>
    </c:view3D>
    <c:floor>
      <c:thickness val="0"/>
    </c:floor>
    <c:sideWall>
      <c:thickness val="0"/>
    </c:sideWall>
    <c:backWall>
      <c:thickness val="0"/>
    </c:backWall>
    <c:plotArea>
      <c:layout>
        <c:manualLayout>
          <c:layoutTarget val="inner"/>
          <c:xMode val="edge"/>
          <c:yMode val="edge"/>
          <c:x val="7.0883357626873478E-2"/>
          <c:y val="0.23228055962803945"/>
          <c:w val="0.70223214622210628"/>
          <c:h val="0.60242701087055972"/>
        </c:manualLayout>
      </c:layout>
      <c:bar3DChart>
        <c:barDir val="col"/>
        <c:grouping val="standard"/>
        <c:varyColors val="0"/>
        <c:ser>
          <c:idx val="5"/>
          <c:order val="0"/>
          <c:tx>
            <c:v>2010</c:v>
          </c:tx>
          <c:invertIfNegative val="0"/>
          <c:cat>
            <c:numLit>
              <c:formatCode>General</c:formatCode>
              <c:ptCount val="1"/>
              <c:pt idx="0">
                <c:v>2015</c:v>
              </c:pt>
            </c:numLit>
          </c:cat>
          <c:val>
            <c:numLit>
              <c:formatCode>General</c:formatCode>
              <c:ptCount val="1"/>
              <c:pt idx="0">
                <c:v>0</c:v>
              </c:pt>
            </c:numLit>
          </c:val>
        </c:ser>
        <c:ser>
          <c:idx val="4"/>
          <c:order val="1"/>
          <c:tx>
            <c:v>2011</c:v>
          </c:tx>
          <c:invertIfNegative val="0"/>
          <c:dLbls>
            <c:txPr>
              <a:bodyPr rot="0" vert="horz" anchor="t" anchorCtr="0"/>
              <a:lstStyle/>
              <a:p>
                <a:pPr>
                  <a:defRPr/>
                </a:pPr>
                <a:endParaRPr lang="pt-PT"/>
              </a:p>
            </c:txPr>
            <c:showLegendKey val="0"/>
            <c:showVal val="1"/>
            <c:showCatName val="0"/>
            <c:showSerName val="0"/>
            <c:showPercent val="0"/>
            <c:showBubbleSize val="0"/>
            <c:showLeaderLines val="0"/>
          </c:dLbls>
          <c:cat>
            <c:numLit>
              <c:formatCode>General</c:formatCode>
              <c:ptCount val="1"/>
              <c:pt idx="0">
                <c:v>2015</c:v>
              </c:pt>
            </c:numLit>
          </c:cat>
          <c:val>
            <c:numLit>
              <c:formatCode>General</c:formatCode>
              <c:ptCount val="1"/>
              <c:pt idx="0">
                <c:v>0</c:v>
              </c:pt>
            </c:numLit>
          </c:val>
        </c:ser>
        <c:ser>
          <c:idx val="3"/>
          <c:order val="2"/>
          <c:tx>
            <c:v>2012</c:v>
          </c:tx>
          <c:invertIfNegative val="0"/>
          <c:cat>
            <c:numLit>
              <c:formatCode>General</c:formatCode>
              <c:ptCount val="1"/>
              <c:pt idx="0">
                <c:v>2015</c:v>
              </c:pt>
            </c:numLit>
          </c:cat>
          <c:val>
            <c:numRef>
              <c:f>'2012 - MTBF, MTTF, Exponencial'!$Z$63</c:f>
              <c:numCache>
                <c:formatCode>General</c:formatCode>
                <c:ptCount val="1"/>
                <c:pt idx="0">
                  <c:v>359</c:v>
                </c:pt>
              </c:numCache>
            </c:numRef>
          </c:val>
        </c:ser>
        <c:ser>
          <c:idx val="2"/>
          <c:order val="3"/>
          <c:tx>
            <c:v>2013</c:v>
          </c:tx>
          <c:invertIfNegative val="0"/>
          <c:cat>
            <c:numLit>
              <c:formatCode>General</c:formatCode>
              <c:ptCount val="1"/>
              <c:pt idx="0">
                <c:v>2015</c:v>
              </c:pt>
            </c:numLit>
          </c:cat>
          <c:val>
            <c:numRef>
              <c:f>'2013 - MTBF, MTTF, Exponencial'!$Z$49</c:f>
              <c:numCache>
                <c:formatCode>General</c:formatCode>
                <c:ptCount val="1"/>
                <c:pt idx="0">
                  <c:v>359</c:v>
                </c:pt>
              </c:numCache>
            </c:numRef>
          </c:val>
        </c:ser>
        <c:ser>
          <c:idx val="1"/>
          <c:order val="4"/>
          <c:tx>
            <c:v>2014</c:v>
          </c:tx>
          <c:invertIfNegative val="0"/>
          <c:cat>
            <c:numLit>
              <c:formatCode>General</c:formatCode>
              <c:ptCount val="1"/>
              <c:pt idx="0">
                <c:v>2015</c:v>
              </c:pt>
            </c:numLit>
          </c:cat>
          <c:val>
            <c:numLit>
              <c:formatCode>General</c:formatCode>
              <c:ptCount val="1"/>
              <c:pt idx="0">
                <c:v>0</c:v>
              </c:pt>
            </c:numLit>
          </c:val>
        </c:ser>
        <c:ser>
          <c:idx val="0"/>
          <c:order val="5"/>
          <c:tx>
            <c:v>2015</c:v>
          </c:tx>
          <c:invertIfNegative val="0"/>
          <c:cat>
            <c:numLit>
              <c:formatCode>General</c:formatCode>
              <c:ptCount val="1"/>
              <c:pt idx="0">
                <c:v>2015</c:v>
              </c:pt>
            </c:numLit>
          </c:cat>
          <c:val>
            <c:numLit>
              <c:formatCode>General</c:formatCode>
              <c:ptCount val="1"/>
              <c:pt idx="0">
                <c:v>0</c:v>
              </c:pt>
            </c:numLit>
          </c:val>
        </c:ser>
        <c:dLbls>
          <c:showLegendKey val="0"/>
          <c:showVal val="1"/>
          <c:showCatName val="0"/>
          <c:showSerName val="0"/>
          <c:showPercent val="0"/>
          <c:showBubbleSize val="0"/>
        </c:dLbls>
        <c:gapWidth val="300"/>
        <c:shape val="box"/>
        <c:axId val="127587840"/>
        <c:axId val="127589376"/>
        <c:axId val="127590400"/>
      </c:bar3DChart>
      <c:catAx>
        <c:axId val="127587840"/>
        <c:scaling>
          <c:orientation val="minMax"/>
        </c:scaling>
        <c:delete val="1"/>
        <c:axPos val="b"/>
        <c:numFmt formatCode="General" sourceLinked="1"/>
        <c:majorTickMark val="none"/>
        <c:minorTickMark val="none"/>
        <c:tickLblPos val="nextTo"/>
        <c:crossAx val="127589376"/>
        <c:crosses val="autoZero"/>
        <c:auto val="1"/>
        <c:lblAlgn val="ctr"/>
        <c:lblOffset val="100"/>
        <c:noMultiLvlLbl val="0"/>
      </c:catAx>
      <c:valAx>
        <c:axId val="127589376"/>
        <c:scaling>
          <c:orientation val="minMax"/>
        </c:scaling>
        <c:delete val="0"/>
        <c:axPos val="l"/>
        <c:majorGridlines/>
        <c:minorGridlines/>
        <c:numFmt formatCode="General" sourceLinked="1"/>
        <c:majorTickMark val="out"/>
        <c:minorTickMark val="none"/>
        <c:tickLblPos val="nextTo"/>
        <c:crossAx val="127587840"/>
        <c:crosses val="autoZero"/>
        <c:crossBetween val="between"/>
      </c:valAx>
      <c:serAx>
        <c:axId val="127590400"/>
        <c:scaling>
          <c:orientation val="minMax"/>
        </c:scaling>
        <c:delete val="1"/>
        <c:axPos val="b"/>
        <c:majorTickMark val="none"/>
        <c:minorTickMark val="none"/>
        <c:tickLblPos val="nextTo"/>
        <c:crossAx val="127589376"/>
        <c:crosses val="autoZero"/>
      </c:serAx>
    </c:plotArea>
    <c:legend>
      <c:legendPos val="r"/>
      <c:layout/>
      <c:overlay val="0"/>
    </c:legend>
    <c:plotVisOnly val="1"/>
    <c:dispBlanksAs val="gap"/>
    <c:showDLblsOverMax val="0"/>
  </c:chart>
  <c:printSettings>
    <c:headerFooter/>
    <c:pageMargins b="0.75" l="0.7" r="0.7" t="0.75" header="0.3" footer="0.3"/>
    <c:pageSetup/>
  </c:printSettings>
</c:chartSpace>
</file>

<file path=xl/charts/chart195.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a:pPr>
            <a:r>
              <a:rPr lang="pt-PT"/>
              <a:t>MTBF - CF41 -</a:t>
            </a:r>
            <a:r>
              <a:rPr lang="pt-PT" baseline="0"/>
              <a:t> Silo 2</a:t>
            </a:r>
          </a:p>
        </c:rich>
      </c:tx>
      <c:layout/>
      <c:overlay val="0"/>
    </c:title>
    <c:autoTitleDeleted val="0"/>
    <c:view3D>
      <c:rotX val="10"/>
      <c:hPercent val="100"/>
      <c:rotY val="70"/>
      <c:depthPercent val="100"/>
      <c:rAngAx val="0"/>
      <c:perspective val="0"/>
    </c:view3D>
    <c:floor>
      <c:thickness val="0"/>
    </c:floor>
    <c:sideWall>
      <c:thickness val="0"/>
    </c:sideWall>
    <c:backWall>
      <c:thickness val="0"/>
    </c:backWall>
    <c:plotArea>
      <c:layout>
        <c:manualLayout>
          <c:layoutTarget val="inner"/>
          <c:xMode val="edge"/>
          <c:yMode val="edge"/>
          <c:x val="7.0883357626873478E-2"/>
          <c:y val="0.23228055962803945"/>
          <c:w val="0.70223214622210628"/>
          <c:h val="0.60242701087055972"/>
        </c:manualLayout>
      </c:layout>
      <c:bar3DChart>
        <c:barDir val="col"/>
        <c:grouping val="standard"/>
        <c:varyColors val="0"/>
        <c:ser>
          <c:idx val="5"/>
          <c:order val="0"/>
          <c:tx>
            <c:v>2010</c:v>
          </c:tx>
          <c:invertIfNegative val="0"/>
          <c:cat>
            <c:numLit>
              <c:formatCode>General</c:formatCode>
              <c:ptCount val="1"/>
              <c:pt idx="0">
                <c:v>2015</c:v>
              </c:pt>
            </c:numLit>
          </c:cat>
          <c:val>
            <c:numLit>
              <c:formatCode>General</c:formatCode>
              <c:ptCount val="1"/>
              <c:pt idx="0">
                <c:v>0</c:v>
              </c:pt>
            </c:numLit>
          </c:val>
        </c:ser>
        <c:ser>
          <c:idx val="4"/>
          <c:order val="1"/>
          <c:tx>
            <c:v>2011</c:v>
          </c:tx>
          <c:invertIfNegative val="0"/>
          <c:dLbls>
            <c:txPr>
              <a:bodyPr rot="0" vert="horz" anchor="t" anchorCtr="0"/>
              <a:lstStyle/>
              <a:p>
                <a:pPr>
                  <a:defRPr/>
                </a:pPr>
                <a:endParaRPr lang="pt-PT"/>
              </a:p>
            </c:txPr>
            <c:showLegendKey val="0"/>
            <c:showVal val="1"/>
            <c:showCatName val="0"/>
            <c:showSerName val="0"/>
            <c:showPercent val="0"/>
            <c:showBubbleSize val="0"/>
            <c:showLeaderLines val="0"/>
          </c:dLbls>
          <c:cat>
            <c:numLit>
              <c:formatCode>General</c:formatCode>
              <c:ptCount val="1"/>
              <c:pt idx="0">
                <c:v>2015</c:v>
              </c:pt>
            </c:numLit>
          </c:cat>
          <c:val>
            <c:numLit>
              <c:formatCode>General</c:formatCode>
              <c:ptCount val="1"/>
              <c:pt idx="0">
                <c:v>0</c:v>
              </c:pt>
            </c:numLit>
          </c:val>
        </c:ser>
        <c:ser>
          <c:idx val="3"/>
          <c:order val="2"/>
          <c:tx>
            <c:v>2012</c:v>
          </c:tx>
          <c:invertIfNegative val="0"/>
          <c:cat>
            <c:numLit>
              <c:formatCode>General</c:formatCode>
              <c:ptCount val="1"/>
              <c:pt idx="0">
                <c:v>2015</c:v>
              </c:pt>
            </c:numLit>
          </c:cat>
          <c:val>
            <c:numLit>
              <c:formatCode>General</c:formatCode>
              <c:ptCount val="1"/>
              <c:pt idx="0">
                <c:v>0</c:v>
              </c:pt>
            </c:numLit>
          </c:val>
        </c:ser>
        <c:ser>
          <c:idx val="2"/>
          <c:order val="3"/>
          <c:tx>
            <c:v>2013</c:v>
          </c:tx>
          <c:invertIfNegative val="0"/>
          <c:cat>
            <c:numLit>
              <c:formatCode>General</c:formatCode>
              <c:ptCount val="1"/>
              <c:pt idx="0">
                <c:v>2015</c:v>
              </c:pt>
            </c:numLit>
          </c:cat>
          <c:val>
            <c:numLit>
              <c:formatCode>General</c:formatCode>
              <c:ptCount val="1"/>
              <c:pt idx="0">
                <c:v>0</c:v>
              </c:pt>
            </c:numLit>
          </c:val>
        </c:ser>
        <c:ser>
          <c:idx val="1"/>
          <c:order val="4"/>
          <c:tx>
            <c:v>2014</c:v>
          </c:tx>
          <c:invertIfNegative val="0"/>
          <c:cat>
            <c:numLit>
              <c:formatCode>General</c:formatCode>
              <c:ptCount val="1"/>
              <c:pt idx="0">
                <c:v>2015</c:v>
              </c:pt>
            </c:numLit>
          </c:cat>
          <c:val>
            <c:numLit>
              <c:formatCode>General</c:formatCode>
              <c:ptCount val="1"/>
              <c:pt idx="0">
                <c:v>0</c:v>
              </c:pt>
            </c:numLit>
          </c:val>
        </c:ser>
        <c:ser>
          <c:idx val="0"/>
          <c:order val="5"/>
          <c:tx>
            <c:v>2015</c:v>
          </c:tx>
          <c:invertIfNegative val="0"/>
          <c:cat>
            <c:numLit>
              <c:formatCode>General</c:formatCode>
              <c:ptCount val="1"/>
              <c:pt idx="0">
                <c:v>2015</c:v>
              </c:pt>
            </c:numLit>
          </c:cat>
          <c:val>
            <c:numLit>
              <c:formatCode>General</c:formatCode>
              <c:ptCount val="1"/>
              <c:pt idx="0">
                <c:v>0</c:v>
              </c:pt>
            </c:numLit>
          </c:val>
        </c:ser>
        <c:dLbls>
          <c:showLegendKey val="0"/>
          <c:showVal val="1"/>
          <c:showCatName val="0"/>
          <c:showSerName val="0"/>
          <c:showPercent val="0"/>
          <c:showBubbleSize val="0"/>
        </c:dLbls>
        <c:gapWidth val="300"/>
        <c:shape val="box"/>
        <c:axId val="127712640"/>
        <c:axId val="127739008"/>
        <c:axId val="127593984"/>
      </c:bar3DChart>
      <c:catAx>
        <c:axId val="127712640"/>
        <c:scaling>
          <c:orientation val="minMax"/>
        </c:scaling>
        <c:delete val="1"/>
        <c:axPos val="b"/>
        <c:numFmt formatCode="General" sourceLinked="1"/>
        <c:majorTickMark val="none"/>
        <c:minorTickMark val="none"/>
        <c:tickLblPos val="nextTo"/>
        <c:crossAx val="127739008"/>
        <c:crosses val="autoZero"/>
        <c:auto val="1"/>
        <c:lblAlgn val="ctr"/>
        <c:lblOffset val="100"/>
        <c:noMultiLvlLbl val="0"/>
      </c:catAx>
      <c:valAx>
        <c:axId val="127739008"/>
        <c:scaling>
          <c:orientation val="minMax"/>
        </c:scaling>
        <c:delete val="0"/>
        <c:axPos val="l"/>
        <c:majorGridlines/>
        <c:minorGridlines/>
        <c:numFmt formatCode="General" sourceLinked="1"/>
        <c:majorTickMark val="out"/>
        <c:minorTickMark val="none"/>
        <c:tickLblPos val="nextTo"/>
        <c:crossAx val="127712640"/>
        <c:crosses val="autoZero"/>
        <c:crossBetween val="between"/>
      </c:valAx>
      <c:serAx>
        <c:axId val="127593984"/>
        <c:scaling>
          <c:orientation val="minMax"/>
        </c:scaling>
        <c:delete val="1"/>
        <c:axPos val="b"/>
        <c:majorTickMark val="none"/>
        <c:minorTickMark val="none"/>
        <c:tickLblPos val="nextTo"/>
        <c:crossAx val="127739008"/>
        <c:crosses val="autoZero"/>
      </c:serAx>
    </c:plotArea>
    <c:legend>
      <c:legendPos val="r"/>
      <c:layout/>
      <c:overlay val="0"/>
    </c:legend>
    <c:plotVisOnly val="1"/>
    <c:dispBlanksAs val="gap"/>
    <c:showDLblsOverMax val="0"/>
  </c:chart>
  <c:printSettings>
    <c:headerFooter/>
    <c:pageMargins b="0.75" l="0.7" r="0.7" t="0.75" header="0.3" footer="0.3"/>
    <c:pageSetup/>
  </c:printSettings>
</c:chartSpace>
</file>

<file path=xl/charts/chart196.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a:pPr>
            <a:r>
              <a:rPr lang="pt-PT"/>
              <a:t>MTBF - CF41 -</a:t>
            </a:r>
            <a:r>
              <a:rPr lang="pt-PT" baseline="0"/>
              <a:t> Silo 3</a:t>
            </a:r>
          </a:p>
        </c:rich>
      </c:tx>
      <c:layout/>
      <c:overlay val="0"/>
    </c:title>
    <c:autoTitleDeleted val="0"/>
    <c:view3D>
      <c:rotX val="10"/>
      <c:hPercent val="100"/>
      <c:rotY val="70"/>
      <c:depthPercent val="100"/>
      <c:rAngAx val="0"/>
      <c:perspective val="0"/>
    </c:view3D>
    <c:floor>
      <c:thickness val="0"/>
    </c:floor>
    <c:sideWall>
      <c:thickness val="0"/>
    </c:sideWall>
    <c:backWall>
      <c:thickness val="0"/>
    </c:backWall>
    <c:plotArea>
      <c:layout>
        <c:manualLayout>
          <c:layoutTarget val="inner"/>
          <c:xMode val="edge"/>
          <c:yMode val="edge"/>
          <c:x val="7.0883357626873478E-2"/>
          <c:y val="0.23228055962803945"/>
          <c:w val="0.70223214622210628"/>
          <c:h val="0.60242701087055972"/>
        </c:manualLayout>
      </c:layout>
      <c:bar3DChart>
        <c:barDir val="col"/>
        <c:grouping val="standard"/>
        <c:varyColors val="0"/>
        <c:ser>
          <c:idx val="5"/>
          <c:order val="0"/>
          <c:tx>
            <c:v>2010</c:v>
          </c:tx>
          <c:invertIfNegative val="0"/>
          <c:cat>
            <c:numLit>
              <c:formatCode>General</c:formatCode>
              <c:ptCount val="1"/>
              <c:pt idx="0">
                <c:v>2015</c:v>
              </c:pt>
            </c:numLit>
          </c:cat>
          <c:val>
            <c:numLit>
              <c:formatCode>General</c:formatCode>
              <c:ptCount val="1"/>
              <c:pt idx="0">
                <c:v>0</c:v>
              </c:pt>
            </c:numLit>
          </c:val>
        </c:ser>
        <c:ser>
          <c:idx val="4"/>
          <c:order val="1"/>
          <c:tx>
            <c:v>2011</c:v>
          </c:tx>
          <c:invertIfNegative val="0"/>
          <c:dLbls>
            <c:txPr>
              <a:bodyPr rot="0" vert="horz" anchor="t" anchorCtr="0"/>
              <a:lstStyle/>
              <a:p>
                <a:pPr>
                  <a:defRPr/>
                </a:pPr>
                <a:endParaRPr lang="pt-PT"/>
              </a:p>
            </c:txPr>
            <c:showLegendKey val="0"/>
            <c:showVal val="1"/>
            <c:showCatName val="0"/>
            <c:showSerName val="0"/>
            <c:showPercent val="0"/>
            <c:showBubbleSize val="0"/>
            <c:showLeaderLines val="0"/>
          </c:dLbls>
          <c:cat>
            <c:numLit>
              <c:formatCode>General</c:formatCode>
              <c:ptCount val="1"/>
              <c:pt idx="0">
                <c:v>2015</c:v>
              </c:pt>
            </c:numLit>
          </c:cat>
          <c:val>
            <c:numLit>
              <c:formatCode>General</c:formatCode>
              <c:ptCount val="1"/>
              <c:pt idx="0">
                <c:v>0</c:v>
              </c:pt>
            </c:numLit>
          </c:val>
        </c:ser>
        <c:ser>
          <c:idx val="3"/>
          <c:order val="2"/>
          <c:tx>
            <c:v>2012</c:v>
          </c:tx>
          <c:invertIfNegative val="0"/>
          <c:cat>
            <c:numLit>
              <c:formatCode>General</c:formatCode>
              <c:ptCount val="1"/>
              <c:pt idx="0">
                <c:v>2015</c:v>
              </c:pt>
            </c:numLit>
          </c:cat>
          <c:val>
            <c:numLit>
              <c:formatCode>General</c:formatCode>
              <c:ptCount val="1"/>
              <c:pt idx="0">
                <c:v>0</c:v>
              </c:pt>
            </c:numLit>
          </c:val>
        </c:ser>
        <c:ser>
          <c:idx val="2"/>
          <c:order val="3"/>
          <c:tx>
            <c:v>2013</c:v>
          </c:tx>
          <c:invertIfNegative val="0"/>
          <c:cat>
            <c:numLit>
              <c:formatCode>General</c:formatCode>
              <c:ptCount val="1"/>
              <c:pt idx="0">
                <c:v>2015</c:v>
              </c:pt>
            </c:numLit>
          </c:cat>
          <c:val>
            <c:numLit>
              <c:formatCode>General</c:formatCode>
              <c:ptCount val="1"/>
              <c:pt idx="0">
                <c:v>0</c:v>
              </c:pt>
            </c:numLit>
          </c:val>
        </c:ser>
        <c:ser>
          <c:idx val="1"/>
          <c:order val="4"/>
          <c:tx>
            <c:v>2014</c:v>
          </c:tx>
          <c:invertIfNegative val="0"/>
          <c:cat>
            <c:numLit>
              <c:formatCode>General</c:formatCode>
              <c:ptCount val="1"/>
              <c:pt idx="0">
                <c:v>2015</c:v>
              </c:pt>
            </c:numLit>
          </c:cat>
          <c:val>
            <c:numLit>
              <c:formatCode>General</c:formatCode>
              <c:ptCount val="1"/>
              <c:pt idx="0">
                <c:v>0</c:v>
              </c:pt>
            </c:numLit>
          </c:val>
        </c:ser>
        <c:ser>
          <c:idx val="0"/>
          <c:order val="5"/>
          <c:tx>
            <c:v>2015</c:v>
          </c:tx>
          <c:invertIfNegative val="0"/>
          <c:cat>
            <c:numLit>
              <c:formatCode>General</c:formatCode>
              <c:ptCount val="1"/>
              <c:pt idx="0">
                <c:v>2015</c:v>
              </c:pt>
            </c:numLit>
          </c:cat>
          <c:val>
            <c:numLit>
              <c:formatCode>General</c:formatCode>
              <c:ptCount val="1"/>
              <c:pt idx="0">
                <c:v>0</c:v>
              </c:pt>
            </c:numLit>
          </c:val>
        </c:ser>
        <c:dLbls>
          <c:showLegendKey val="0"/>
          <c:showVal val="1"/>
          <c:showCatName val="0"/>
          <c:showSerName val="0"/>
          <c:showPercent val="0"/>
          <c:showBubbleSize val="0"/>
        </c:dLbls>
        <c:gapWidth val="300"/>
        <c:shape val="box"/>
        <c:axId val="128058880"/>
        <c:axId val="128060416"/>
        <c:axId val="127724608"/>
      </c:bar3DChart>
      <c:catAx>
        <c:axId val="128058880"/>
        <c:scaling>
          <c:orientation val="minMax"/>
        </c:scaling>
        <c:delete val="1"/>
        <c:axPos val="b"/>
        <c:numFmt formatCode="General" sourceLinked="1"/>
        <c:majorTickMark val="none"/>
        <c:minorTickMark val="none"/>
        <c:tickLblPos val="nextTo"/>
        <c:crossAx val="128060416"/>
        <c:crosses val="autoZero"/>
        <c:auto val="1"/>
        <c:lblAlgn val="ctr"/>
        <c:lblOffset val="100"/>
        <c:noMultiLvlLbl val="0"/>
      </c:catAx>
      <c:valAx>
        <c:axId val="128060416"/>
        <c:scaling>
          <c:orientation val="minMax"/>
        </c:scaling>
        <c:delete val="0"/>
        <c:axPos val="l"/>
        <c:majorGridlines/>
        <c:minorGridlines/>
        <c:numFmt formatCode="General" sourceLinked="1"/>
        <c:majorTickMark val="out"/>
        <c:minorTickMark val="none"/>
        <c:tickLblPos val="nextTo"/>
        <c:crossAx val="128058880"/>
        <c:crosses val="autoZero"/>
        <c:crossBetween val="between"/>
      </c:valAx>
      <c:serAx>
        <c:axId val="127724608"/>
        <c:scaling>
          <c:orientation val="minMax"/>
        </c:scaling>
        <c:delete val="1"/>
        <c:axPos val="b"/>
        <c:majorTickMark val="none"/>
        <c:minorTickMark val="none"/>
        <c:tickLblPos val="nextTo"/>
        <c:crossAx val="128060416"/>
        <c:crosses val="autoZero"/>
      </c:serAx>
    </c:plotArea>
    <c:legend>
      <c:legendPos val="r"/>
      <c:layout/>
      <c:overlay val="0"/>
    </c:legend>
    <c:plotVisOnly val="1"/>
    <c:dispBlanksAs val="gap"/>
    <c:showDLblsOverMax val="0"/>
  </c:chart>
  <c:printSettings>
    <c:headerFooter/>
    <c:pageMargins b="0.75" l="0.7" r="0.7" t="0.75" header="0.3" footer="0.3"/>
    <c:pageSetup/>
  </c:printSettings>
</c:chartSpace>
</file>

<file path=xl/charts/chart197.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a:pPr>
            <a:r>
              <a:rPr lang="pt-PT"/>
              <a:t>MTBF - CF41 -</a:t>
            </a:r>
            <a:r>
              <a:rPr lang="pt-PT" baseline="0"/>
              <a:t> Chaminé</a:t>
            </a:r>
          </a:p>
        </c:rich>
      </c:tx>
      <c:layout/>
      <c:overlay val="0"/>
    </c:title>
    <c:autoTitleDeleted val="0"/>
    <c:view3D>
      <c:rotX val="10"/>
      <c:hPercent val="100"/>
      <c:rotY val="70"/>
      <c:depthPercent val="100"/>
      <c:rAngAx val="0"/>
      <c:perspective val="0"/>
    </c:view3D>
    <c:floor>
      <c:thickness val="0"/>
    </c:floor>
    <c:sideWall>
      <c:thickness val="0"/>
    </c:sideWall>
    <c:backWall>
      <c:thickness val="0"/>
    </c:backWall>
    <c:plotArea>
      <c:layout>
        <c:manualLayout>
          <c:layoutTarget val="inner"/>
          <c:xMode val="edge"/>
          <c:yMode val="edge"/>
          <c:x val="7.0883357626873478E-2"/>
          <c:y val="0.23228055962803945"/>
          <c:w val="0.70223214622210628"/>
          <c:h val="0.60242701087055972"/>
        </c:manualLayout>
      </c:layout>
      <c:bar3DChart>
        <c:barDir val="col"/>
        <c:grouping val="standard"/>
        <c:varyColors val="0"/>
        <c:ser>
          <c:idx val="5"/>
          <c:order val="0"/>
          <c:tx>
            <c:v>2010</c:v>
          </c:tx>
          <c:invertIfNegative val="0"/>
          <c:cat>
            <c:numLit>
              <c:formatCode>General</c:formatCode>
              <c:ptCount val="1"/>
              <c:pt idx="0">
                <c:v>2015</c:v>
              </c:pt>
            </c:numLit>
          </c:cat>
          <c:val>
            <c:numRef>
              <c:f>'2010 - MTBF, MTTF, Exponencial'!$Z$34</c:f>
              <c:numCache>
                <c:formatCode>General</c:formatCode>
                <c:ptCount val="1"/>
              </c:numCache>
            </c:numRef>
          </c:val>
        </c:ser>
        <c:ser>
          <c:idx val="4"/>
          <c:order val="1"/>
          <c:tx>
            <c:v>2011</c:v>
          </c:tx>
          <c:invertIfNegative val="0"/>
          <c:dLbls>
            <c:txPr>
              <a:bodyPr rot="0" vert="horz" anchor="t" anchorCtr="0"/>
              <a:lstStyle/>
              <a:p>
                <a:pPr>
                  <a:defRPr/>
                </a:pPr>
                <a:endParaRPr lang="pt-PT"/>
              </a:p>
            </c:txPr>
            <c:showLegendKey val="0"/>
            <c:showVal val="1"/>
            <c:showCatName val="0"/>
            <c:showSerName val="0"/>
            <c:showPercent val="0"/>
            <c:showBubbleSize val="0"/>
            <c:showLeaderLines val="0"/>
          </c:dLbls>
          <c:cat>
            <c:numLit>
              <c:formatCode>General</c:formatCode>
              <c:ptCount val="1"/>
              <c:pt idx="0">
                <c:v>2015</c:v>
              </c:pt>
            </c:numLit>
          </c:cat>
          <c:val>
            <c:numLit>
              <c:formatCode>General</c:formatCode>
              <c:ptCount val="1"/>
              <c:pt idx="0">
                <c:v>0</c:v>
              </c:pt>
            </c:numLit>
          </c:val>
        </c:ser>
        <c:ser>
          <c:idx val="3"/>
          <c:order val="2"/>
          <c:tx>
            <c:v>2012</c:v>
          </c:tx>
          <c:invertIfNegative val="0"/>
          <c:cat>
            <c:numLit>
              <c:formatCode>General</c:formatCode>
              <c:ptCount val="1"/>
              <c:pt idx="0">
                <c:v>2015</c:v>
              </c:pt>
            </c:numLit>
          </c:cat>
          <c:val>
            <c:numRef>
              <c:f>'2012 - MTBF, MTTF, Exponencial'!$Z$61</c:f>
              <c:numCache>
                <c:formatCode>General</c:formatCode>
                <c:ptCount val="1"/>
                <c:pt idx="0">
                  <c:v>359</c:v>
                </c:pt>
              </c:numCache>
            </c:numRef>
          </c:val>
        </c:ser>
        <c:ser>
          <c:idx val="2"/>
          <c:order val="3"/>
          <c:tx>
            <c:v>2013</c:v>
          </c:tx>
          <c:invertIfNegative val="0"/>
          <c:cat>
            <c:numLit>
              <c:formatCode>General</c:formatCode>
              <c:ptCount val="1"/>
              <c:pt idx="0">
                <c:v>2015</c:v>
              </c:pt>
            </c:numLit>
          </c:cat>
          <c:val>
            <c:numRef>
              <c:f>'2013 - MTBF, MTTF, Exponencial'!$Z$47</c:f>
              <c:numCache>
                <c:formatCode>General</c:formatCode>
                <c:ptCount val="1"/>
                <c:pt idx="0">
                  <c:v>353</c:v>
                </c:pt>
              </c:numCache>
            </c:numRef>
          </c:val>
        </c:ser>
        <c:ser>
          <c:idx val="1"/>
          <c:order val="4"/>
          <c:tx>
            <c:v>2014</c:v>
          </c:tx>
          <c:invertIfNegative val="0"/>
          <c:cat>
            <c:numLit>
              <c:formatCode>General</c:formatCode>
              <c:ptCount val="1"/>
              <c:pt idx="0">
                <c:v>2015</c:v>
              </c:pt>
            </c:numLit>
          </c:cat>
          <c:val>
            <c:numLit>
              <c:formatCode>General</c:formatCode>
              <c:ptCount val="1"/>
              <c:pt idx="0">
                <c:v>0</c:v>
              </c:pt>
            </c:numLit>
          </c:val>
        </c:ser>
        <c:ser>
          <c:idx val="0"/>
          <c:order val="5"/>
          <c:tx>
            <c:v>2015</c:v>
          </c:tx>
          <c:invertIfNegative val="0"/>
          <c:cat>
            <c:numLit>
              <c:formatCode>General</c:formatCode>
              <c:ptCount val="1"/>
              <c:pt idx="0">
                <c:v>2015</c:v>
              </c:pt>
            </c:numLit>
          </c:cat>
          <c:val>
            <c:numLit>
              <c:formatCode>General</c:formatCode>
              <c:ptCount val="1"/>
              <c:pt idx="0">
                <c:v>0</c:v>
              </c:pt>
            </c:numLit>
          </c:val>
        </c:ser>
        <c:dLbls>
          <c:showLegendKey val="0"/>
          <c:showVal val="1"/>
          <c:showCatName val="0"/>
          <c:showSerName val="0"/>
          <c:showPercent val="0"/>
          <c:showBubbleSize val="0"/>
        </c:dLbls>
        <c:gapWidth val="300"/>
        <c:shape val="box"/>
        <c:axId val="128118144"/>
        <c:axId val="128128128"/>
        <c:axId val="127789696"/>
      </c:bar3DChart>
      <c:catAx>
        <c:axId val="128118144"/>
        <c:scaling>
          <c:orientation val="minMax"/>
        </c:scaling>
        <c:delete val="1"/>
        <c:axPos val="b"/>
        <c:numFmt formatCode="General" sourceLinked="1"/>
        <c:majorTickMark val="none"/>
        <c:minorTickMark val="none"/>
        <c:tickLblPos val="nextTo"/>
        <c:crossAx val="128128128"/>
        <c:crosses val="autoZero"/>
        <c:auto val="1"/>
        <c:lblAlgn val="ctr"/>
        <c:lblOffset val="100"/>
        <c:noMultiLvlLbl val="0"/>
      </c:catAx>
      <c:valAx>
        <c:axId val="128128128"/>
        <c:scaling>
          <c:orientation val="minMax"/>
        </c:scaling>
        <c:delete val="0"/>
        <c:axPos val="l"/>
        <c:majorGridlines/>
        <c:minorGridlines/>
        <c:numFmt formatCode="General" sourceLinked="1"/>
        <c:majorTickMark val="out"/>
        <c:minorTickMark val="none"/>
        <c:tickLblPos val="nextTo"/>
        <c:crossAx val="128118144"/>
        <c:crosses val="autoZero"/>
        <c:crossBetween val="between"/>
      </c:valAx>
      <c:serAx>
        <c:axId val="127789696"/>
        <c:scaling>
          <c:orientation val="minMax"/>
        </c:scaling>
        <c:delete val="1"/>
        <c:axPos val="b"/>
        <c:majorTickMark val="none"/>
        <c:minorTickMark val="none"/>
        <c:tickLblPos val="nextTo"/>
        <c:crossAx val="128128128"/>
        <c:crosses val="autoZero"/>
      </c:serAx>
    </c:plotArea>
    <c:legend>
      <c:legendPos val="r"/>
      <c:layout/>
      <c:overlay val="0"/>
    </c:legend>
    <c:plotVisOnly val="1"/>
    <c:dispBlanksAs val="gap"/>
    <c:showDLblsOverMax val="0"/>
  </c:chart>
  <c:printSettings>
    <c:headerFooter/>
    <c:pageMargins b="0.75" l="0.7" r="0.7" t="0.75" header="0.3" footer="0.3"/>
    <c:pageSetup/>
  </c:printSettings>
</c:chartSpace>
</file>

<file path=xl/charts/chart198.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a:pPr>
            <a:r>
              <a:rPr lang="pt-PT"/>
              <a:t>MTBF - Moinho 1</a:t>
            </a:r>
            <a:endParaRPr lang="pt-PT" baseline="0"/>
          </a:p>
        </c:rich>
      </c:tx>
      <c:layout/>
      <c:overlay val="0"/>
    </c:title>
    <c:autoTitleDeleted val="0"/>
    <c:view3D>
      <c:rotX val="10"/>
      <c:hPercent val="100"/>
      <c:rotY val="70"/>
      <c:depthPercent val="100"/>
      <c:rAngAx val="0"/>
      <c:perspective val="0"/>
    </c:view3D>
    <c:floor>
      <c:thickness val="0"/>
    </c:floor>
    <c:sideWall>
      <c:thickness val="0"/>
    </c:sideWall>
    <c:backWall>
      <c:thickness val="0"/>
    </c:backWall>
    <c:plotArea>
      <c:layout>
        <c:manualLayout>
          <c:layoutTarget val="inner"/>
          <c:xMode val="edge"/>
          <c:yMode val="edge"/>
          <c:x val="7.0883357626873478E-2"/>
          <c:y val="0.23228055962803945"/>
          <c:w val="0.70223214622210628"/>
          <c:h val="0.60242701087055972"/>
        </c:manualLayout>
      </c:layout>
      <c:bar3DChart>
        <c:barDir val="col"/>
        <c:grouping val="standard"/>
        <c:varyColors val="0"/>
        <c:ser>
          <c:idx val="5"/>
          <c:order val="0"/>
          <c:tx>
            <c:v>2010</c:v>
          </c:tx>
          <c:invertIfNegative val="0"/>
          <c:cat>
            <c:numLit>
              <c:formatCode>General</c:formatCode>
              <c:ptCount val="1"/>
              <c:pt idx="0">
                <c:v>2015</c:v>
              </c:pt>
            </c:numLit>
          </c:cat>
          <c:val>
            <c:numLit>
              <c:formatCode>General</c:formatCode>
              <c:ptCount val="1"/>
              <c:pt idx="0">
                <c:v>0</c:v>
              </c:pt>
            </c:numLit>
          </c:val>
        </c:ser>
        <c:ser>
          <c:idx val="4"/>
          <c:order val="1"/>
          <c:tx>
            <c:v>2011</c:v>
          </c:tx>
          <c:invertIfNegative val="0"/>
          <c:dLbls>
            <c:txPr>
              <a:bodyPr rot="0" vert="horz" anchor="t" anchorCtr="0"/>
              <a:lstStyle/>
              <a:p>
                <a:pPr>
                  <a:defRPr/>
                </a:pPr>
                <a:endParaRPr lang="pt-PT"/>
              </a:p>
            </c:txPr>
            <c:showLegendKey val="0"/>
            <c:showVal val="1"/>
            <c:showCatName val="0"/>
            <c:showSerName val="0"/>
            <c:showPercent val="0"/>
            <c:showBubbleSize val="0"/>
            <c:showLeaderLines val="0"/>
          </c:dLbls>
          <c:cat>
            <c:numLit>
              <c:formatCode>General</c:formatCode>
              <c:ptCount val="1"/>
              <c:pt idx="0">
                <c:v>2015</c:v>
              </c:pt>
            </c:numLit>
          </c:cat>
          <c:val>
            <c:numLit>
              <c:formatCode>General</c:formatCode>
              <c:ptCount val="1"/>
              <c:pt idx="0">
                <c:v>0</c:v>
              </c:pt>
            </c:numLit>
          </c:val>
        </c:ser>
        <c:ser>
          <c:idx val="3"/>
          <c:order val="2"/>
          <c:tx>
            <c:v>2012</c:v>
          </c:tx>
          <c:invertIfNegative val="0"/>
          <c:cat>
            <c:numLit>
              <c:formatCode>General</c:formatCode>
              <c:ptCount val="1"/>
              <c:pt idx="0">
                <c:v>2015</c:v>
              </c:pt>
            </c:numLit>
          </c:cat>
          <c:val>
            <c:numLit>
              <c:formatCode>General</c:formatCode>
              <c:ptCount val="1"/>
              <c:pt idx="0">
                <c:v>0</c:v>
              </c:pt>
            </c:numLit>
          </c:val>
        </c:ser>
        <c:ser>
          <c:idx val="2"/>
          <c:order val="3"/>
          <c:tx>
            <c:v>2013</c:v>
          </c:tx>
          <c:invertIfNegative val="0"/>
          <c:cat>
            <c:numLit>
              <c:formatCode>General</c:formatCode>
              <c:ptCount val="1"/>
              <c:pt idx="0">
                <c:v>2015</c:v>
              </c:pt>
            </c:numLit>
          </c:cat>
          <c:val>
            <c:numLit>
              <c:formatCode>General</c:formatCode>
              <c:ptCount val="1"/>
              <c:pt idx="0">
                <c:v>0</c:v>
              </c:pt>
            </c:numLit>
          </c:val>
        </c:ser>
        <c:ser>
          <c:idx val="1"/>
          <c:order val="4"/>
          <c:tx>
            <c:v>2014</c:v>
          </c:tx>
          <c:invertIfNegative val="0"/>
          <c:cat>
            <c:numLit>
              <c:formatCode>General</c:formatCode>
              <c:ptCount val="1"/>
              <c:pt idx="0">
                <c:v>2015</c:v>
              </c:pt>
            </c:numLit>
          </c:cat>
          <c:val>
            <c:numRef>
              <c:f>'2014 - MTBF, MTTF, Exp, Weibull'!#REF!</c:f>
              <c:numCache>
                <c:formatCode>General</c:formatCode>
                <c:ptCount val="1"/>
                <c:pt idx="0">
                  <c:v>1</c:v>
                </c:pt>
              </c:numCache>
            </c:numRef>
          </c:val>
        </c:ser>
        <c:ser>
          <c:idx val="0"/>
          <c:order val="5"/>
          <c:tx>
            <c:v>2015</c:v>
          </c:tx>
          <c:invertIfNegative val="0"/>
          <c:cat>
            <c:numLit>
              <c:formatCode>General</c:formatCode>
              <c:ptCount val="1"/>
              <c:pt idx="0">
                <c:v>2015</c:v>
              </c:pt>
            </c:numLit>
          </c:cat>
          <c:val>
            <c:numLit>
              <c:formatCode>General</c:formatCode>
              <c:ptCount val="1"/>
              <c:pt idx="0">
                <c:v>0</c:v>
              </c:pt>
            </c:numLit>
          </c:val>
        </c:ser>
        <c:dLbls>
          <c:showLegendKey val="0"/>
          <c:showVal val="1"/>
          <c:showCatName val="0"/>
          <c:showSerName val="0"/>
          <c:showPercent val="0"/>
          <c:showBubbleSize val="0"/>
        </c:dLbls>
        <c:gapWidth val="300"/>
        <c:shape val="box"/>
        <c:axId val="127931904"/>
        <c:axId val="127933440"/>
        <c:axId val="128121024"/>
      </c:bar3DChart>
      <c:catAx>
        <c:axId val="127931904"/>
        <c:scaling>
          <c:orientation val="minMax"/>
        </c:scaling>
        <c:delete val="1"/>
        <c:axPos val="b"/>
        <c:numFmt formatCode="General" sourceLinked="1"/>
        <c:majorTickMark val="none"/>
        <c:minorTickMark val="none"/>
        <c:tickLblPos val="nextTo"/>
        <c:crossAx val="127933440"/>
        <c:crosses val="autoZero"/>
        <c:auto val="1"/>
        <c:lblAlgn val="ctr"/>
        <c:lblOffset val="100"/>
        <c:noMultiLvlLbl val="0"/>
      </c:catAx>
      <c:valAx>
        <c:axId val="127933440"/>
        <c:scaling>
          <c:orientation val="minMax"/>
        </c:scaling>
        <c:delete val="0"/>
        <c:axPos val="l"/>
        <c:majorGridlines/>
        <c:minorGridlines/>
        <c:numFmt formatCode="General" sourceLinked="1"/>
        <c:majorTickMark val="out"/>
        <c:minorTickMark val="none"/>
        <c:tickLblPos val="nextTo"/>
        <c:crossAx val="127931904"/>
        <c:crosses val="autoZero"/>
        <c:crossBetween val="between"/>
      </c:valAx>
      <c:serAx>
        <c:axId val="128121024"/>
        <c:scaling>
          <c:orientation val="minMax"/>
        </c:scaling>
        <c:delete val="1"/>
        <c:axPos val="b"/>
        <c:majorTickMark val="none"/>
        <c:minorTickMark val="none"/>
        <c:tickLblPos val="nextTo"/>
        <c:crossAx val="127933440"/>
        <c:crosses val="autoZero"/>
      </c:serAx>
    </c:plotArea>
    <c:legend>
      <c:legendPos val="r"/>
      <c:layout/>
      <c:overlay val="0"/>
    </c:legend>
    <c:plotVisOnly val="1"/>
    <c:dispBlanksAs val="gap"/>
    <c:showDLblsOverMax val="0"/>
  </c:chart>
  <c:printSettings>
    <c:headerFooter/>
    <c:pageMargins b="0.75" l="0.7" r="0.7" t="0.75" header="0.3" footer="0.3"/>
    <c:pageSetup/>
  </c:printSettings>
</c:chartSpace>
</file>

<file path=xl/charts/chart199.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a:pPr>
            <a:r>
              <a:rPr lang="pt-PT"/>
              <a:t>MTBF - </a:t>
            </a:r>
            <a:r>
              <a:rPr lang="pt-PT" sz="1800" b="1" i="0" u="none" strike="noStrike" baseline="0">
                <a:effectLst/>
              </a:rPr>
              <a:t>Moinho</a:t>
            </a:r>
            <a:r>
              <a:rPr lang="pt-PT"/>
              <a:t> 2</a:t>
            </a:r>
            <a:endParaRPr lang="pt-PT" baseline="0"/>
          </a:p>
        </c:rich>
      </c:tx>
      <c:layout/>
      <c:overlay val="0"/>
    </c:title>
    <c:autoTitleDeleted val="0"/>
    <c:view3D>
      <c:rotX val="10"/>
      <c:hPercent val="100"/>
      <c:rotY val="70"/>
      <c:depthPercent val="100"/>
      <c:rAngAx val="0"/>
      <c:perspective val="0"/>
    </c:view3D>
    <c:floor>
      <c:thickness val="0"/>
    </c:floor>
    <c:sideWall>
      <c:thickness val="0"/>
    </c:sideWall>
    <c:backWall>
      <c:thickness val="0"/>
    </c:backWall>
    <c:plotArea>
      <c:layout>
        <c:manualLayout>
          <c:layoutTarget val="inner"/>
          <c:xMode val="edge"/>
          <c:yMode val="edge"/>
          <c:x val="7.0883357626873478E-2"/>
          <c:y val="0.23228055962803945"/>
          <c:w val="0.70223214622210628"/>
          <c:h val="0.60242701087055972"/>
        </c:manualLayout>
      </c:layout>
      <c:bar3DChart>
        <c:barDir val="col"/>
        <c:grouping val="standard"/>
        <c:varyColors val="0"/>
        <c:ser>
          <c:idx val="5"/>
          <c:order val="0"/>
          <c:tx>
            <c:v>2010</c:v>
          </c:tx>
          <c:invertIfNegative val="0"/>
          <c:cat>
            <c:numLit>
              <c:formatCode>General</c:formatCode>
              <c:ptCount val="1"/>
              <c:pt idx="0">
                <c:v>2015</c:v>
              </c:pt>
            </c:numLit>
          </c:cat>
          <c:val>
            <c:numRef>
              <c:f>'2010 - MTBF, MTTF, Exponencial'!$Z$23</c:f>
              <c:numCache>
                <c:formatCode>General</c:formatCode>
                <c:ptCount val="1"/>
              </c:numCache>
            </c:numRef>
          </c:val>
        </c:ser>
        <c:ser>
          <c:idx val="4"/>
          <c:order val="1"/>
          <c:tx>
            <c:v>2011</c:v>
          </c:tx>
          <c:invertIfNegative val="0"/>
          <c:dLbls>
            <c:txPr>
              <a:bodyPr rot="0" vert="horz" anchor="t" anchorCtr="0"/>
              <a:lstStyle/>
              <a:p>
                <a:pPr>
                  <a:defRPr/>
                </a:pPr>
                <a:endParaRPr lang="pt-PT"/>
              </a:p>
            </c:txPr>
            <c:showLegendKey val="0"/>
            <c:showVal val="1"/>
            <c:showCatName val="0"/>
            <c:showSerName val="0"/>
            <c:showPercent val="0"/>
            <c:showBubbleSize val="0"/>
            <c:showLeaderLines val="0"/>
          </c:dLbls>
          <c:cat>
            <c:numLit>
              <c:formatCode>General</c:formatCode>
              <c:ptCount val="1"/>
              <c:pt idx="0">
                <c:v>2015</c:v>
              </c:pt>
            </c:numLit>
          </c:cat>
          <c:val>
            <c:numLit>
              <c:formatCode>General</c:formatCode>
              <c:ptCount val="1"/>
              <c:pt idx="0">
                <c:v>0</c:v>
              </c:pt>
            </c:numLit>
          </c:val>
        </c:ser>
        <c:ser>
          <c:idx val="3"/>
          <c:order val="2"/>
          <c:tx>
            <c:v>2012</c:v>
          </c:tx>
          <c:invertIfNegative val="0"/>
          <c:cat>
            <c:numLit>
              <c:formatCode>General</c:formatCode>
              <c:ptCount val="1"/>
              <c:pt idx="0">
                <c:v>2015</c:v>
              </c:pt>
            </c:numLit>
          </c:cat>
          <c:val>
            <c:numLit>
              <c:formatCode>General</c:formatCode>
              <c:ptCount val="1"/>
              <c:pt idx="0">
                <c:v>0</c:v>
              </c:pt>
            </c:numLit>
          </c:val>
        </c:ser>
        <c:ser>
          <c:idx val="2"/>
          <c:order val="3"/>
          <c:tx>
            <c:v>2013</c:v>
          </c:tx>
          <c:invertIfNegative val="0"/>
          <c:cat>
            <c:numLit>
              <c:formatCode>General</c:formatCode>
              <c:ptCount val="1"/>
              <c:pt idx="0">
                <c:v>2015</c:v>
              </c:pt>
            </c:numLit>
          </c:cat>
          <c:val>
            <c:numRef>
              <c:f>'2013 - MTBF, MTTF, Exponencial'!$Z$51</c:f>
              <c:numCache>
                <c:formatCode>General</c:formatCode>
                <c:ptCount val="1"/>
                <c:pt idx="0">
                  <c:v>359</c:v>
                </c:pt>
              </c:numCache>
            </c:numRef>
          </c:val>
        </c:ser>
        <c:ser>
          <c:idx val="1"/>
          <c:order val="4"/>
          <c:tx>
            <c:v>2014</c:v>
          </c:tx>
          <c:invertIfNegative val="0"/>
          <c:cat>
            <c:numLit>
              <c:formatCode>General</c:formatCode>
              <c:ptCount val="1"/>
              <c:pt idx="0">
                <c:v>2015</c:v>
              </c:pt>
            </c:numLit>
          </c:cat>
          <c:val>
            <c:numLit>
              <c:formatCode>General</c:formatCode>
              <c:ptCount val="1"/>
              <c:pt idx="0">
                <c:v>0</c:v>
              </c:pt>
            </c:numLit>
          </c:val>
        </c:ser>
        <c:ser>
          <c:idx val="0"/>
          <c:order val="5"/>
          <c:tx>
            <c:v>2015</c:v>
          </c:tx>
          <c:invertIfNegative val="0"/>
          <c:cat>
            <c:numLit>
              <c:formatCode>General</c:formatCode>
              <c:ptCount val="1"/>
              <c:pt idx="0">
                <c:v>2015</c:v>
              </c:pt>
            </c:numLit>
          </c:cat>
          <c:val>
            <c:numLit>
              <c:formatCode>General</c:formatCode>
              <c:ptCount val="1"/>
              <c:pt idx="0">
                <c:v>0</c:v>
              </c:pt>
            </c:numLit>
          </c:val>
        </c:ser>
        <c:dLbls>
          <c:showLegendKey val="0"/>
          <c:showVal val="1"/>
          <c:showCatName val="0"/>
          <c:showSerName val="0"/>
          <c:showPercent val="0"/>
          <c:showBubbleSize val="0"/>
        </c:dLbls>
        <c:gapWidth val="300"/>
        <c:shape val="box"/>
        <c:axId val="127982976"/>
        <c:axId val="127988864"/>
        <c:axId val="127928064"/>
      </c:bar3DChart>
      <c:catAx>
        <c:axId val="127982976"/>
        <c:scaling>
          <c:orientation val="minMax"/>
        </c:scaling>
        <c:delete val="1"/>
        <c:axPos val="b"/>
        <c:numFmt formatCode="General" sourceLinked="1"/>
        <c:majorTickMark val="none"/>
        <c:minorTickMark val="none"/>
        <c:tickLblPos val="nextTo"/>
        <c:crossAx val="127988864"/>
        <c:crosses val="autoZero"/>
        <c:auto val="1"/>
        <c:lblAlgn val="ctr"/>
        <c:lblOffset val="100"/>
        <c:noMultiLvlLbl val="0"/>
      </c:catAx>
      <c:valAx>
        <c:axId val="127988864"/>
        <c:scaling>
          <c:orientation val="minMax"/>
        </c:scaling>
        <c:delete val="0"/>
        <c:axPos val="l"/>
        <c:majorGridlines/>
        <c:minorGridlines/>
        <c:numFmt formatCode="General" sourceLinked="1"/>
        <c:majorTickMark val="out"/>
        <c:minorTickMark val="none"/>
        <c:tickLblPos val="nextTo"/>
        <c:crossAx val="127982976"/>
        <c:crosses val="autoZero"/>
        <c:crossBetween val="between"/>
      </c:valAx>
      <c:serAx>
        <c:axId val="127928064"/>
        <c:scaling>
          <c:orientation val="minMax"/>
        </c:scaling>
        <c:delete val="1"/>
        <c:axPos val="b"/>
        <c:majorTickMark val="none"/>
        <c:minorTickMark val="none"/>
        <c:tickLblPos val="nextTo"/>
        <c:crossAx val="127988864"/>
        <c:crosses val="autoZero"/>
      </c:serAx>
    </c:plotArea>
    <c:legend>
      <c:legendPos val="r"/>
      <c:layout/>
      <c:overlay val="0"/>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Total de avarias combustivel fossil 31</c:v>
          </c:tx>
          <c:invertIfNegative val="0"/>
          <c:dLbls>
            <c:numFmt formatCode="#,##0;\-#,##0" sourceLinked="0"/>
            <c:txPr>
              <a:bodyPr/>
              <a:lstStyle/>
              <a:p>
                <a:pPr>
                  <a:defRPr b="1"/>
                </a:pPr>
                <a:endParaRPr lang="pt-PT"/>
              </a:p>
            </c:txPr>
            <c:showLegendKey val="0"/>
            <c:showVal val="1"/>
            <c:showCatName val="0"/>
            <c:showSerName val="0"/>
            <c:showPercent val="0"/>
            <c:showBubbleSize val="0"/>
            <c:showLeaderLines val="0"/>
          </c:dLbls>
          <c:cat>
            <c:numRef>
              <c:f>'2015 - Gráficos'!$F$6:$F$8</c:f>
              <c:numCache>
                <c:formatCode>General</c:formatCode>
                <c:ptCount val="3"/>
                <c:pt idx="0">
                  <c:v>28</c:v>
                </c:pt>
                <c:pt idx="1">
                  <c:v>159</c:v>
                </c:pt>
                <c:pt idx="2">
                  <c:v>240</c:v>
                </c:pt>
              </c:numCache>
            </c:numRef>
          </c:cat>
          <c:val>
            <c:numRef>
              <c:f>'2015 - Gráficos'!$G$6:$G$8</c:f>
              <c:numCache>
                <c:formatCode>0</c:formatCode>
                <c:ptCount val="3"/>
                <c:pt idx="0">
                  <c:v>1</c:v>
                </c:pt>
                <c:pt idx="1">
                  <c:v>1</c:v>
                </c:pt>
                <c:pt idx="2">
                  <c:v>1</c:v>
                </c:pt>
              </c:numCache>
            </c:numRef>
          </c:val>
        </c:ser>
        <c:dLbls>
          <c:showLegendKey val="0"/>
          <c:showVal val="0"/>
          <c:showCatName val="0"/>
          <c:showSerName val="0"/>
          <c:showPercent val="0"/>
          <c:showBubbleSize val="0"/>
        </c:dLbls>
        <c:gapWidth val="300"/>
        <c:axId val="104820096"/>
        <c:axId val="104830080"/>
      </c:barChart>
      <c:catAx>
        <c:axId val="104820096"/>
        <c:scaling>
          <c:orientation val="minMax"/>
        </c:scaling>
        <c:delete val="0"/>
        <c:axPos val="b"/>
        <c:numFmt formatCode="General" sourceLinked="1"/>
        <c:majorTickMark val="none"/>
        <c:minorTickMark val="none"/>
        <c:tickLblPos val="nextTo"/>
        <c:crossAx val="104830080"/>
        <c:crosses val="autoZero"/>
        <c:auto val="1"/>
        <c:lblAlgn val="ctr"/>
        <c:lblOffset val="100"/>
        <c:noMultiLvlLbl val="0"/>
      </c:catAx>
      <c:valAx>
        <c:axId val="104830080"/>
        <c:scaling>
          <c:orientation val="minMax"/>
        </c:scaling>
        <c:delete val="0"/>
        <c:axPos val="l"/>
        <c:majorGridlines/>
        <c:minorGridlines/>
        <c:numFmt formatCode="0" sourceLinked="1"/>
        <c:majorTickMark val="out"/>
        <c:minorTickMark val="none"/>
        <c:tickLblPos val="nextTo"/>
        <c:crossAx val="104820096"/>
        <c:crosses val="autoZero"/>
        <c:crossBetween val="between"/>
      </c:valAx>
    </c:plotArea>
    <c:legend>
      <c:legendPos val="r"/>
      <c:layout/>
      <c:overlay val="0"/>
    </c:legend>
    <c:plotVisOnly val="1"/>
    <c:dispBlanksAs val="gap"/>
    <c:showDLblsOverMax val="0"/>
  </c:chart>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Total de avarias Incinerador 3</c:v>
          </c:tx>
          <c:invertIfNegative val="0"/>
          <c:dLbls>
            <c:numFmt formatCode="#,##0;\-#,##0" sourceLinked="0"/>
            <c:txPr>
              <a:bodyPr/>
              <a:lstStyle/>
              <a:p>
                <a:pPr>
                  <a:defRPr b="1"/>
                </a:pPr>
                <a:endParaRPr lang="pt-PT"/>
              </a:p>
            </c:txPr>
            <c:showLegendKey val="0"/>
            <c:showVal val="1"/>
            <c:showCatName val="0"/>
            <c:showSerName val="0"/>
            <c:showPercent val="0"/>
            <c:showBubbleSize val="0"/>
            <c:showLeaderLines val="0"/>
          </c:dLbls>
          <c:cat>
            <c:numRef>
              <c:f>'2014 - Gráficos'!$F$13:$F$19</c:f>
              <c:numCache>
                <c:formatCode>General</c:formatCode>
                <c:ptCount val="7"/>
                <c:pt idx="0">
                  <c:v>42</c:v>
                </c:pt>
                <c:pt idx="1">
                  <c:v>43</c:v>
                </c:pt>
                <c:pt idx="2">
                  <c:v>74</c:v>
                </c:pt>
                <c:pt idx="3">
                  <c:v>139</c:v>
                </c:pt>
                <c:pt idx="4">
                  <c:v>142</c:v>
                </c:pt>
                <c:pt idx="5">
                  <c:v>152</c:v>
                </c:pt>
                <c:pt idx="6">
                  <c:v>290</c:v>
                </c:pt>
              </c:numCache>
            </c:numRef>
          </c:cat>
          <c:val>
            <c:numRef>
              <c:f>'2014 - Gráficos'!$G$13:$G$19</c:f>
              <c:numCache>
                <c:formatCode>0</c:formatCode>
                <c:ptCount val="7"/>
                <c:pt idx="0">
                  <c:v>1</c:v>
                </c:pt>
                <c:pt idx="1">
                  <c:v>1</c:v>
                </c:pt>
                <c:pt idx="2">
                  <c:v>1</c:v>
                </c:pt>
                <c:pt idx="3">
                  <c:v>1</c:v>
                </c:pt>
                <c:pt idx="4">
                  <c:v>1</c:v>
                </c:pt>
                <c:pt idx="5">
                  <c:v>1</c:v>
                </c:pt>
                <c:pt idx="6">
                  <c:v>1</c:v>
                </c:pt>
              </c:numCache>
            </c:numRef>
          </c:val>
        </c:ser>
        <c:dLbls>
          <c:showLegendKey val="0"/>
          <c:showVal val="0"/>
          <c:showCatName val="0"/>
          <c:showSerName val="0"/>
          <c:showPercent val="0"/>
          <c:showBubbleSize val="0"/>
        </c:dLbls>
        <c:gapWidth val="300"/>
        <c:axId val="109444480"/>
        <c:axId val="107365504"/>
      </c:barChart>
      <c:catAx>
        <c:axId val="109444480"/>
        <c:scaling>
          <c:orientation val="minMax"/>
        </c:scaling>
        <c:delete val="0"/>
        <c:axPos val="b"/>
        <c:numFmt formatCode="General" sourceLinked="1"/>
        <c:majorTickMark val="none"/>
        <c:minorTickMark val="none"/>
        <c:tickLblPos val="nextTo"/>
        <c:crossAx val="107365504"/>
        <c:crosses val="autoZero"/>
        <c:auto val="1"/>
        <c:lblAlgn val="ctr"/>
        <c:lblOffset val="100"/>
        <c:noMultiLvlLbl val="0"/>
      </c:catAx>
      <c:valAx>
        <c:axId val="107365504"/>
        <c:scaling>
          <c:orientation val="minMax"/>
        </c:scaling>
        <c:delete val="0"/>
        <c:axPos val="l"/>
        <c:majorGridlines/>
        <c:minorGridlines/>
        <c:numFmt formatCode="0" sourceLinked="1"/>
        <c:majorTickMark val="out"/>
        <c:minorTickMark val="none"/>
        <c:tickLblPos val="nextTo"/>
        <c:crossAx val="109444480"/>
        <c:crosses val="autoZero"/>
        <c:crossBetween val="between"/>
      </c:valAx>
    </c:plotArea>
    <c:legend>
      <c:legendPos val="r"/>
      <c:layout/>
      <c:overlay val="0"/>
    </c:legend>
    <c:plotVisOnly val="1"/>
    <c:dispBlanksAs val="gap"/>
    <c:showDLblsOverMax val="0"/>
  </c:chart>
  <c:printSettings>
    <c:headerFooter/>
    <c:pageMargins b="0.75" l="0.7" r="0.7" t="0.75" header="0.3" footer="0.3"/>
    <c:pageSetup/>
  </c:printSettings>
</c:chartSpace>
</file>

<file path=xl/charts/chart200.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a:pPr>
            <a:r>
              <a:rPr lang="pt-PT"/>
              <a:t>MTBF - </a:t>
            </a:r>
            <a:r>
              <a:rPr lang="pt-PT" sz="1800" b="1" i="0" u="none" strike="noStrike" baseline="0">
                <a:effectLst/>
              </a:rPr>
              <a:t>Moinho</a:t>
            </a:r>
            <a:r>
              <a:rPr lang="pt-PT"/>
              <a:t> 3</a:t>
            </a:r>
            <a:endParaRPr lang="pt-PT" baseline="0"/>
          </a:p>
        </c:rich>
      </c:tx>
      <c:layout/>
      <c:overlay val="0"/>
    </c:title>
    <c:autoTitleDeleted val="0"/>
    <c:view3D>
      <c:rotX val="10"/>
      <c:hPercent val="100"/>
      <c:rotY val="70"/>
      <c:depthPercent val="100"/>
      <c:rAngAx val="0"/>
      <c:perspective val="0"/>
    </c:view3D>
    <c:floor>
      <c:thickness val="0"/>
    </c:floor>
    <c:sideWall>
      <c:thickness val="0"/>
    </c:sideWall>
    <c:backWall>
      <c:thickness val="0"/>
    </c:backWall>
    <c:plotArea>
      <c:layout>
        <c:manualLayout>
          <c:layoutTarget val="inner"/>
          <c:xMode val="edge"/>
          <c:yMode val="edge"/>
          <c:x val="7.0883357626873478E-2"/>
          <c:y val="0.23228055962803945"/>
          <c:w val="0.70223214622210628"/>
          <c:h val="0.60242701087055972"/>
        </c:manualLayout>
      </c:layout>
      <c:bar3DChart>
        <c:barDir val="col"/>
        <c:grouping val="standard"/>
        <c:varyColors val="0"/>
        <c:ser>
          <c:idx val="5"/>
          <c:order val="0"/>
          <c:tx>
            <c:v>2010</c:v>
          </c:tx>
          <c:invertIfNegative val="0"/>
          <c:cat>
            <c:numLit>
              <c:formatCode>General</c:formatCode>
              <c:ptCount val="1"/>
              <c:pt idx="0">
                <c:v>2015</c:v>
              </c:pt>
            </c:numLit>
          </c:cat>
          <c:val>
            <c:numLit>
              <c:formatCode>General</c:formatCode>
              <c:ptCount val="1"/>
              <c:pt idx="0">
                <c:v>0</c:v>
              </c:pt>
            </c:numLit>
          </c:val>
        </c:ser>
        <c:ser>
          <c:idx val="4"/>
          <c:order val="1"/>
          <c:tx>
            <c:v>2011</c:v>
          </c:tx>
          <c:invertIfNegative val="0"/>
          <c:dLbls>
            <c:txPr>
              <a:bodyPr rot="0" vert="horz" anchor="t" anchorCtr="0"/>
              <a:lstStyle/>
              <a:p>
                <a:pPr>
                  <a:defRPr/>
                </a:pPr>
                <a:endParaRPr lang="pt-PT"/>
              </a:p>
            </c:txPr>
            <c:showLegendKey val="0"/>
            <c:showVal val="1"/>
            <c:showCatName val="0"/>
            <c:showSerName val="0"/>
            <c:showPercent val="0"/>
            <c:showBubbleSize val="0"/>
            <c:showLeaderLines val="0"/>
          </c:dLbls>
          <c:cat>
            <c:numLit>
              <c:formatCode>General</c:formatCode>
              <c:ptCount val="1"/>
              <c:pt idx="0">
                <c:v>2015</c:v>
              </c:pt>
            </c:numLit>
          </c:cat>
          <c:val>
            <c:numRef>
              <c:f>'2011 - MTBF, MTTF, Exponencial'!$Z$56</c:f>
              <c:numCache>
                <c:formatCode>General</c:formatCode>
                <c:ptCount val="1"/>
                <c:pt idx="0">
                  <c:v>359</c:v>
                </c:pt>
              </c:numCache>
            </c:numRef>
          </c:val>
        </c:ser>
        <c:ser>
          <c:idx val="3"/>
          <c:order val="2"/>
          <c:tx>
            <c:v>2012</c:v>
          </c:tx>
          <c:invertIfNegative val="0"/>
          <c:cat>
            <c:numLit>
              <c:formatCode>General</c:formatCode>
              <c:ptCount val="1"/>
              <c:pt idx="0">
                <c:v>2015</c:v>
              </c:pt>
            </c:numLit>
          </c:cat>
          <c:val>
            <c:numRef>
              <c:f>'2012 - MTBF, MTTF, Exponencial'!$Z$65</c:f>
              <c:numCache>
                <c:formatCode>General</c:formatCode>
                <c:ptCount val="1"/>
                <c:pt idx="0">
                  <c:v>359</c:v>
                </c:pt>
              </c:numCache>
            </c:numRef>
          </c:val>
        </c:ser>
        <c:ser>
          <c:idx val="2"/>
          <c:order val="3"/>
          <c:tx>
            <c:v>2013</c:v>
          </c:tx>
          <c:invertIfNegative val="0"/>
          <c:cat>
            <c:numLit>
              <c:formatCode>General</c:formatCode>
              <c:ptCount val="1"/>
              <c:pt idx="0">
                <c:v>2015</c:v>
              </c:pt>
            </c:numLit>
          </c:cat>
          <c:val>
            <c:numRef>
              <c:f>'2013 - MTBF, MTTF, Exponencial'!$Z$53</c:f>
              <c:numCache>
                <c:formatCode>General</c:formatCode>
                <c:ptCount val="1"/>
                <c:pt idx="0">
                  <c:v>359</c:v>
                </c:pt>
              </c:numCache>
            </c:numRef>
          </c:val>
        </c:ser>
        <c:ser>
          <c:idx val="1"/>
          <c:order val="4"/>
          <c:tx>
            <c:v>2014</c:v>
          </c:tx>
          <c:invertIfNegative val="0"/>
          <c:cat>
            <c:numLit>
              <c:formatCode>General</c:formatCode>
              <c:ptCount val="1"/>
              <c:pt idx="0">
                <c:v>2015</c:v>
              </c:pt>
            </c:numLit>
          </c:cat>
          <c:val>
            <c:numLit>
              <c:formatCode>General</c:formatCode>
              <c:ptCount val="1"/>
              <c:pt idx="0">
                <c:v>0</c:v>
              </c:pt>
            </c:numLit>
          </c:val>
        </c:ser>
        <c:ser>
          <c:idx val="0"/>
          <c:order val="5"/>
          <c:tx>
            <c:v>2015</c:v>
          </c:tx>
          <c:invertIfNegative val="0"/>
          <c:cat>
            <c:numLit>
              <c:formatCode>General</c:formatCode>
              <c:ptCount val="1"/>
              <c:pt idx="0">
                <c:v>2015</c:v>
              </c:pt>
            </c:numLit>
          </c:cat>
          <c:val>
            <c:numLit>
              <c:formatCode>General</c:formatCode>
              <c:ptCount val="1"/>
              <c:pt idx="0">
                <c:v>0</c:v>
              </c:pt>
            </c:numLit>
          </c:val>
        </c:ser>
        <c:dLbls>
          <c:showLegendKey val="0"/>
          <c:showVal val="1"/>
          <c:showCatName val="0"/>
          <c:showSerName val="0"/>
          <c:showPercent val="0"/>
          <c:showBubbleSize val="0"/>
        </c:dLbls>
        <c:gapWidth val="300"/>
        <c:shape val="box"/>
        <c:axId val="128046592"/>
        <c:axId val="128048128"/>
        <c:axId val="128042304"/>
      </c:bar3DChart>
      <c:catAx>
        <c:axId val="128046592"/>
        <c:scaling>
          <c:orientation val="minMax"/>
        </c:scaling>
        <c:delete val="1"/>
        <c:axPos val="b"/>
        <c:numFmt formatCode="General" sourceLinked="1"/>
        <c:majorTickMark val="none"/>
        <c:minorTickMark val="none"/>
        <c:tickLblPos val="nextTo"/>
        <c:crossAx val="128048128"/>
        <c:crosses val="autoZero"/>
        <c:auto val="1"/>
        <c:lblAlgn val="ctr"/>
        <c:lblOffset val="100"/>
        <c:noMultiLvlLbl val="0"/>
      </c:catAx>
      <c:valAx>
        <c:axId val="128048128"/>
        <c:scaling>
          <c:orientation val="minMax"/>
        </c:scaling>
        <c:delete val="0"/>
        <c:axPos val="l"/>
        <c:majorGridlines/>
        <c:minorGridlines/>
        <c:numFmt formatCode="General" sourceLinked="1"/>
        <c:majorTickMark val="out"/>
        <c:minorTickMark val="none"/>
        <c:tickLblPos val="nextTo"/>
        <c:crossAx val="128046592"/>
        <c:crosses val="autoZero"/>
        <c:crossBetween val="between"/>
      </c:valAx>
      <c:serAx>
        <c:axId val="128042304"/>
        <c:scaling>
          <c:orientation val="minMax"/>
        </c:scaling>
        <c:delete val="1"/>
        <c:axPos val="b"/>
        <c:majorTickMark val="none"/>
        <c:minorTickMark val="none"/>
        <c:tickLblPos val="nextTo"/>
        <c:crossAx val="128048128"/>
        <c:crosses val="autoZero"/>
      </c:serAx>
    </c:plotArea>
    <c:legend>
      <c:legendPos val="r"/>
      <c:layout/>
      <c:overlay val="0"/>
    </c:legend>
    <c:plotVisOnly val="1"/>
    <c:dispBlanksAs val="gap"/>
    <c:showDLblsOverMax val="0"/>
  </c:chart>
  <c:printSettings>
    <c:headerFooter/>
    <c:pageMargins b="0.75" l="0.7" r="0.7" t="0.75" header="0.3" footer="0.3"/>
    <c:pageSetup/>
  </c:printSettings>
</c:chartSpace>
</file>

<file path=xl/charts/chart201.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a:pPr>
            <a:r>
              <a:rPr lang="pt-PT"/>
              <a:t>MTBF - </a:t>
            </a:r>
            <a:r>
              <a:rPr lang="pt-PT" sz="1800" b="1" i="0" u="none" strike="noStrike" baseline="0">
                <a:effectLst/>
              </a:rPr>
              <a:t>Moinho</a:t>
            </a:r>
            <a:r>
              <a:rPr lang="pt-PT"/>
              <a:t> 4</a:t>
            </a:r>
            <a:endParaRPr lang="pt-PT" baseline="0"/>
          </a:p>
        </c:rich>
      </c:tx>
      <c:layout/>
      <c:overlay val="0"/>
    </c:title>
    <c:autoTitleDeleted val="0"/>
    <c:view3D>
      <c:rotX val="10"/>
      <c:hPercent val="100"/>
      <c:rotY val="70"/>
      <c:depthPercent val="100"/>
      <c:rAngAx val="0"/>
      <c:perspective val="0"/>
    </c:view3D>
    <c:floor>
      <c:thickness val="0"/>
    </c:floor>
    <c:sideWall>
      <c:thickness val="0"/>
    </c:sideWall>
    <c:backWall>
      <c:thickness val="0"/>
    </c:backWall>
    <c:plotArea>
      <c:layout>
        <c:manualLayout>
          <c:layoutTarget val="inner"/>
          <c:xMode val="edge"/>
          <c:yMode val="edge"/>
          <c:x val="7.0883357626873478E-2"/>
          <c:y val="0.23228055962803945"/>
          <c:w val="0.70223214622210628"/>
          <c:h val="0.60242701087055972"/>
        </c:manualLayout>
      </c:layout>
      <c:bar3DChart>
        <c:barDir val="col"/>
        <c:grouping val="standard"/>
        <c:varyColors val="0"/>
        <c:ser>
          <c:idx val="5"/>
          <c:order val="0"/>
          <c:tx>
            <c:v>2010</c:v>
          </c:tx>
          <c:invertIfNegative val="0"/>
          <c:cat>
            <c:numLit>
              <c:formatCode>General</c:formatCode>
              <c:ptCount val="1"/>
              <c:pt idx="0">
                <c:v>2015</c:v>
              </c:pt>
            </c:numLit>
          </c:cat>
          <c:val>
            <c:numLit>
              <c:formatCode>General</c:formatCode>
              <c:ptCount val="1"/>
              <c:pt idx="0">
                <c:v>0</c:v>
              </c:pt>
            </c:numLit>
          </c:val>
        </c:ser>
        <c:ser>
          <c:idx val="4"/>
          <c:order val="1"/>
          <c:tx>
            <c:v>2011</c:v>
          </c:tx>
          <c:invertIfNegative val="0"/>
          <c:dLbls>
            <c:txPr>
              <a:bodyPr rot="0" vert="horz" anchor="t" anchorCtr="0"/>
              <a:lstStyle/>
              <a:p>
                <a:pPr>
                  <a:defRPr/>
                </a:pPr>
                <a:endParaRPr lang="pt-PT"/>
              </a:p>
            </c:txPr>
            <c:showLegendKey val="0"/>
            <c:showVal val="1"/>
            <c:showCatName val="0"/>
            <c:showSerName val="0"/>
            <c:showPercent val="0"/>
            <c:showBubbleSize val="0"/>
            <c:showLeaderLines val="0"/>
          </c:dLbls>
          <c:cat>
            <c:numLit>
              <c:formatCode>General</c:formatCode>
              <c:ptCount val="1"/>
              <c:pt idx="0">
                <c:v>2015</c:v>
              </c:pt>
            </c:numLit>
          </c:cat>
          <c:val>
            <c:numLit>
              <c:formatCode>General</c:formatCode>
              <c:ptCount val="1"/>
              <c:pt idx="0">
                <c:v>0</c:v>
              </c:pt>
            </c:numLit>
          </c:val>
        </c:ser>
        <c:ser>
          <c:idx val="3"/>
          <c:order val="2"/>
          <c:tx>
            <c:v>2012</c:v>
          </c:tx>
          <c:invertIfNegative val="0"/>
          <c:cat>
            <c:numLit>
              <c:formatCode>General</c:formatCode>
              <c:ptCount val="1"/>
              <c:pt idx="0">
                <c:v>2015</c:v>
              </c:pt>
            </c:numLit>
          </c:cat>
          <c:val>
            <c:numRef>
              <c:f>'2012 - MTBF, MTTF, Exponencial'!$Z$68</c:f>
              <c:numCache>
                <c:formatCode>General</c:formatCode>
                <c:ptCount val="1"/>
                <c:pt idx="0">
                  <c:v>179</c:v>
                </c:pt>
              </c:numCache>
            </c:numRef>
          </c:val>
        </c:ser>
        <c:ser>
          <c:idx val="2"/>
          <c:order val="3"/>
          <c:tx>
            <c:v>2013</c:v>
          </c:tx>
          <c:invertIfNegative val="0"/>
          <c:cat>
            <c:numLit>
              <c:formatCode>General</c:formatCode>
              <c:ptCount val="1"/>
              <c:pt idx="0">
                <c:v>2015</c:v>
              </c:pt>
            </c:numLit>
          </c:cat>
          <c:val>
            <c:numRef>
              <c:f>'2013 - MTBF, MTTF, Exponencial'!$Z$57</c:f>
              <c:numCache>
                <c:formatCode>General</c:formatCode>
                <c:ptCount val="1"/>
                <c:pt idx="0">
                  <c:v>119</c:v>
                </c:pt>
              </c:numCache>
            </c:numRef>
          </c:val>
        </c:ser>
        <c:ser>
          <c:idx val="1"/>
          <c:order val="4"/>
          <c:tx>
            <c:v>2014</c:v>
          </c:tx>
          <c:invertIfNegative val="0"/>
          <c:cat>
            <c:numLit>
              <c:formatCode>General</c:formatCode>
              <c:ptCount val="1"/>
              <c:pt idx="0">
                <c:v>2015</c:v>
              </c:pt>
            </c:numLit>
          </c:cat>
          <c:val>
            <c:numLit>
              <c:formatCode>General</c:formatCode>
              <c:ptCount val="1"/>
              <c:pt idx="0">
                <c:v>0</c:v>
              </c:pt>
            </c:numLit>
          </c:val>
        </c:ser>
        <c:ser>
          <c:idx val="0"/>
          <c:order val="5"/>
          <c:tx>
            <c:v>2015</c:v>
          </c:tx>
          <c:invertIfNegative val="0"/>
          <c:cat>
            <c:numLit>
              <c:formatCode>General</c:formatCode>
              <c:ptCount val="1"/>
              <c:pt idx="0">
                <c:v>2015</c:v>
              </c:pt>
            </c:numLit>
          </c:cat>
          <c:val>
            <c:numRef>
              <c:f>'2015 - MTBF, MTTF, Exponencial'!$Z$35</c:f>
              <c:numCache>
                <c:formatCode>General</c:formatCode>
                <c:ptCount val="1"/>
                <c:pt idx="0">
                  <c:v>355</c:v>
                </c:pt>
              </c:numCache>
            </c:numRef>
          </c:val>
        </c:ser>
        <c:dLbls>
          <c:showLegendKey val="0"/>
          <c:showVal val="1"/>
          <c:showCatName val="0"/>
          <c:showSerName val="0"/>
          <c:showPercent val="0"/>
          <c:showBubbleSize val="0"/>
        </c:dLbls>
        <c:gapWidth val="300"/>
        <c:shape val="box"/>
        <c:axId val="128236928"/>
        <c:axId val="128246912"/>
        <c:axId val="128242560"/>
      </c:bar3DChart>
      <c:catAx>
        <c:axId val="128236928"/>
        <c:scaling>
          <c:orientation val="minMax"/>
        </c:scaling>
        <c:delete val="1"/>
        <c:axPos val="b"/>
        <c:numFmt formatCode="General" sourceLinked="1"/>
        <c:majorTickMark val="none"/>
        <c:minorTickMark val="none"/>
        <c:tickLblPos val="nextTo"/>
        <c:crossAx val="128246912"/>
        <c:crosses val="autoZero"/>
        <c:auto val="1"/>
        <c:lblAlgn val="ctr"/>
        <c:lblOffset val="100"/>
        <c:noMultiLvlLbl val="0"/>
      </c:catAx>
      <c:valAx>
        <c:axId val="128246912"/>
        <c:scaling>
          <c:orientation val="minMax"/>
        </c:scaling>
        <c:delete val="0"/>
        <c:axPos val="l"/>
        <c:majorGridlines/>
        <c:minorGridlines/>
        <c:numFmt formatCode="General" sourceLinked="1"/>
        <c:majorTickMark val="out"/>
        <c:minorTickMark val="none"/>
        <c:tickLblPos val="nextTo"/>
        <c:crossAx val="128236928"/>
        <c:crosses val="autoZero"/>
        <c:crossBetween val="between"/>
      </c:valAx>
      <c:serAx>
        <c:axId val="128242560"/>
        <c:scaling>
          <c:orientation val="minMax"/>
        </c:scaling>
        <c:delete val="1"/>
        <c:axPos val="b"/>
        <c:majorTickMark val="none"/>
        <c:minorTickMark val="none"/>
        <c:tickLblPos val="nextTo"/>
        <c:crossAx val="128246912"/>
        <c:crosses val="autoZero"/>
      </c:serAx>
    </c:plotArea>
    <c:legend>
      <c:legendPos val="r"/>
      <c:layout/>
      <c:overlay val="0"/>
    </c:legend>
    <c:plotVisOnly val="1"/>
    <c:dispBlanksAs val="gap"/>
    <c:showDLblsOverMax val="0"/>
  </c:chart>
  <c:printSettings>
    <c:headerFooter/>
    <c:pageMargins b="0.75" l="0.7" r="0.7" t="0.75" header="0.3" footer="0.3"/>
    <c:pageSetup/>
  </c:printSettings>
</c:chartSpace>
</file>

<file path=xl/charts/chart202.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a:pPr>
            <a:r>
              <a:rPr lang="pt-PT"/>
              <a:t>MTBF - Urb. - Ribeira</a:t>
            </a:r>
            <a:endParaRPr lang="pt-PT" baseline="0"/>
          </a:p>
        </c:rich>
      </c:tx>
      <c:layout/>
      <c:overlay val="0"/>
    </c:title>
    <c:autoTitleDeleted val="0"/>
    <c:view3D>
      <c:rotX val="10"/>
      <c:hPercent val="100"/>
      <c:rotY val="70"/>
      <c:depthPercent val="100"/>
      <c:rAngAx val="0"/>
      <c:perspective val="0"/>
    </c:view3D>
    <c:floor>
      <c:thickness val="0"/>
    </c:floor>
    <c:sideWall>
      <c:thickness val="0"/>
    </c:sideWall>
    <c:backWall>
      <c:thickness val="0"/>
    </c:backWall>
    <c:plotArea>
      <c:layout>
        <c:manualLayout>
          <c:layoutTarget val="inner"/>
          <c:xMode val="edge"/>
          <c:yMode val="edge"/>
          <c:x val="7.0883357626873478E-2"/>
          <c:y val="0.23228055962803945"/>
          <c:w val="0.70223214622210628"/>
          <c:h val="0.60242701087055972"/>
        </c:manualLayout>
      </c:layout>
      <c:bar3DChart>
        <c:barDir val="col"/>
        <c:grouping val="standard"/>
        <c:varyColors val="0"/>
        <c:ser>
          <c:idx val="5"/>
          <c:order val="0"/>
          <c:tx>
            <c:v>2010</c:v>
          </c:tx>
          <c:invertIfNegative val="0"/>
          <c:cat>
            <c:numLit>
              <c:formatCode>General</c:formatCode>
              <c:ptCount val="1"/>
              <c:pt idx="0">
                <c:v>2015</c:v>
              </c:pt>
            </c:numLit>
          </c:cat>
          <c:val>
            <c:numLit>
              <c:formatCode>General</c:formatCode>
              <c:ptCount val="1"/>
              <c:pt idx="0">
                <c:v>0</c:v>
              </c:pt>
            </c:numLit>
          </c:val>
        </c:ser>
        <c:ser>
          <c:idx val="4"/>
          <c:order val="1"/>
          <c:tx>
            <c:v>2011</c:v>
          </c:tx>
          <c:invertIfNegative val="0"/>
          <c:dLbls>
            <c:txPr>
              <a:bodyPr rot="0" vert="horz" anchor="t" anchorCtr="0"/>
              <a:lstStyle/>
              <a:p>
                <a:pPr>
                  <a:defRPr/>
                </a:pPr>
                <a:endParaRPr lang="pt-PT"/>
              </a:p>
            </c:txPr>
            <c:showLegendKey val="0"/>
            <c:showVal val="1"/>
            <c:showCatName val="0"/>
            <c:showSerName val="0"/>
            <c:showPercent val="0"/>
            <c:showBubbleSize val="0"/>
            <c:showLeaderLines val="0"/>
          </c:dLbls>
          <c:cat>
            <c:numLit>
              <c:formatCode>General</c:formatCode>
              <c:ptCount val="1"/>
              <c:pt idx="0">
                <c:v>2015</c:v>
              </c:pt>
            </c:numLit>
          </c:cat>
          <c:val>
            <c:numRef>
              <c:f>'2011 - MTBF, MTTF, Exponencial'!$Z$9</c:f>
              <c:numCache>
                <c:formatCode>General</c:formatCode>
                <c:ptCount val="1"/>
                <c:pt idx="0">
                  <c:v>355</c:v>
                </c:pt>
              </c:numCache>
            </c:numRef>
          </c:val>
        </c:ser>
        <c:ser>
          <c:idx val="3"/>
          <c:order val="2"/>
          <c:tx>
            <c:v>2012</c:v>
          </c:tx>
          <c:invertIfNegative val="0"/>
          <c:cat>
            <c:numLit>
              <c:formatCode>General</c:formatCode>
              <c:ptCount val="1"/>
              <c:pt idx="0">
                <c:v>2015</c:v>
              </c:pt>
            </c:numLit>
          </c:cat>
          <c:val>
            <c:numRef>
              <c:f>'2012 - MTBF, MTTF, Exponencial'!$Z$6</c:f>
              <c:numCache>
                <c:formatCode>General</c:formatCode>
                <c:ptCount val="1"/>
                <c:pt idx="0">
                  <c:v>359</c:v>
                </c:pt>
              </c:numCache>
            </c:numRef>
          </c:val>
        </c:ser>
        <c:ser>
          <c:idx val="2"/>
          <c:order val="3"/>
          <c:tx>
            <c:v>2013</c:v>
          </c:tx>
          <c:invertIfNegative val="0"/>
          <c:cat>
            <c:numLit>
              <c:formatCode>General</c:formatCode>
              <c:ptCount val="1"/>
              <c:pt idx="0">
                <c:v>2015</c:v>
              </c:pt>
            </c:numLit>
          </c:cat>
          <c:val>
            <c:numRef>
              <c:f>'2013 - MTBF, MTTF, Exponencial'!$Z$6</c:f>
              <c:numCache>
                <c:formatCode>General</c:formatCode>
                <c:ptCount val="1"/>
                <c:pt idx="0">
                  <c:v>359</c:v>
                </c:pt>
              </c:numCache>
            </c:numRef>
          </c:val>
        </c:ser>
        <c:ser>
          <c:idx val="1"/>
          <c:order val="4"/>
          <c:tx>
            <c:v>2014</c:v>
          </c:tx>
          <c:invertIfNegative val="0"/>
          <c:cat>
            <c:numLit>
              <c:formatCode>General</c:formatCode>
              <c:ptCount val="1"/>
              <c:pt idx="0">
                <c:v>2015</c:v>
              </c:pt>
            </c:numLit>
          </c:cat>
          <c:val>
            <c:numLit>
              <c:formatCode>General</c:formatCode>
              <c:ptCount val="1"/>
              <c:pt idx="0">
                <c:v>0</c:v>
              </c:pt>
            </c:numLit>
          </c:val>
        </c:ser>
        <c:ser>
          <c:idx val="0"/>
          <c:order val="5"/>
          <c:tx>
            <c:v>2015</c:v>
          </c:tx>
          <c:invertIfNegative val="0"/>
          <c:cat>
            <c:numLit>
              <c:formatCode>General</c:formatCode>
              <c:ptCount val="1"/>
              <c:pt idx="0">
                <c:v>2015</c:v>
              </c:pt>
            </c:numLit>
          </c:cat>
          <c:val>
            <c:numLit>
              <c:formatCode>General</c:formatCode>
              <c:ptCount val="1"/>
              <c:pt idx="0">
                <c:v>0</c:v>
              </c:pt>
            </c:numLit>
          </c:val>
        </c:ser>
        <c:dLbls>
          <c:showLegendKey val="0"/>
          <c:showVal val="1"/>
          <c:showCatName val="0"/>
          <c:showSerName val="0"/>
          <c:showPercent val="0"/>
          <c:showBubbleSize val="0"/>
        </c:dLbls>
        <c:gapWidth val="300"/>
        <c:shape val="box"/>
        <c:axId val="128304640"/>
        <c:axId val="128306176"/>
        <c:axId val="128307648"/>
      </c:bar3DChart>
      <c:catAx>
        <c:axId val="128304640"/>
        <c:scaling>
          <c:orientation val="minMax"/>
        </c:scaling>
        <c:delete val="1"/>
        <c:axPos val="b"/>
        <c:numFmt formatCode="General" sourceLinked="1"/>
        <c:majorTickMark val="none"/>
        <c:minorTickMark val="none"/>
        <c:tickLblPos val="nextTo"/>
        <c:crossAx val="128306176"/>
        <c:crosses val="autoZero"/>
        <c:auto val="1"/>
        <c:lblAlgn val="ctr"/>
        <c:lblOffset val="100"/>
        <c:noMultiLvlLbl val="0"/>
      </c:catAx>
      <c:valAx>
        <c:axId val="128306176"/>
        <c:scaling>
          <c:orientation val="minMax"/>
        </c:scaling>
        <c:delete val="0"/>
        <c:axPos val="l"/>
        <c:majorGridlines/>
        <c:minorGridlines/>
        <c:numFmt formatCode="General" sourceLinked="1"/>
        <c:majorTickMark val="out"/>
        <c:minorTickMark val="none"/>
        <c:tickLblPos val="nextTo"/>
        <c:crossAx val="128304640"/>
        <c:crosses val="autoZero"/>
        <c:crossBetween val="between"/>
      </c:valAx>
      <c:serAx>
        <c:axId val="128307648"/>
        <c:scaling>
          <c:orientation val="minMax"/>
        </c:scaling>
        <c:delete val="1"/>
        <c:axPos val="b"/>
        <c:majorTickMark val="none"/>
        <c:minorTickMark val="none"/>
        <c:tickLblPos val="nextTo"/>
        <c:crossAx val="128306176"/>
        <c:crosses val="autoZero"/>
      </c:serAx>
    </c:plotArea>
    <c:legend>
      <c:legendPos val="r"/>
      <c:layout/>
      <c:overlay val="0"/>
    </c:legend>
    <c:plotVisOnly val="1"/>
    <c:dispBlanksAs val="gap"/>
    <c:showDLblsOverMax val="0"/>
  </c:chart>
  <c:printSettings>
    <c:headerFooter/>
    <c:pageMargins b="0.75" l="0.7" r="0.7" t="0.75" header="0.3" footer="0.3"/>
    <c:pageSetup/>
  </c:printSettings>
</c:chartSpace>
</file>

<file path=xl/charts/chart203.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a:pPr>
            <a:r>
              <a:rPr lang="pt-PT"/>
              <a:t>MTBF - </a:t>
            </a:r>
            <a:r>
              <a:rPr lang="pt-PT" sz="1800" b="1" i="0" u="none" strike="noStrike" baseline="0">
                <a:effectLst/>
              </a:rPr>
              <a:t>Urb. - Encosta dos cedros</a:t>
            </a:r>
            <a:endParaRPr lang="pt-PT" baseline="0"/>
          </a:p>
        </c:rich>
      </c:tx>
      <c:layout/>
      <c:overlay val="0"/>
    </c:title>
    <c:autoTitleDeleted val="0"/>
    <c:view3D>
      <c:rotX val="10"/>
      <c:hPercent val="100"/>
      <c:rotY val="70"/>
      <c:depthPercent val="100"/>
      <c:rAngAx val="0"/>
      <c:perspective val="0"/>
    </c:view3D>
    <c:floor>
      <c:thickness val="0"/>
    </c:floor>
    <c:sideWall>
      <c:thickness val="0"/>
    </c:sideWall>
    <c:backWall>
      <c:thickness val="0"/>
    </c:backWall>
    <c:plotArea>
      <c:layout>
        <c:manualLayout>
          <c:layoutTarget val="inner"/>
          <c:xMode val="edge"/>
          <c:yMode val="edge"/>
          <c:x val="7.0883357626873478E-2"/>
          <c:y val="0.23228055962803945"/>
          <c:w val="0.70223214622210628"/>
          <c:h val="0.60242701087055972"/>
        </c:manualLayout>
      </c:layout>
      <c:bar3DChart>
        <c:barDir val="col"/>
        <c:grouping val="standard"/>
        <c:varyColors val="0"/>
        <c:ser>
          <c:idx val="5"/>
          <c:order val="0"/>
          <c:tx>
            <c:v>2010</c:v>
          </c:tx>
          <c:invertIfNegative val="0"/>
          <c:cat>
            <c:numLit>
              <c:formatCode>General</c:formatCode>
              <c:ptCount val="1"/>
              <c:pt idx="0">
                <c:v>2015</c:v>
              </c:pt>
            </c:numLit>
          </c:cat>
          <c:val>
            <c:numLit>
              <c:formatCode>General</c:formatCode>
              <c:ptCount val="1"/>
              <c:pt idx="0">
                <c:v>0</c:v>
              </c:pt>
            </c:numLit>
          </c:val>
        </c:ser>
        <c:ser>
          <c:idx val="4"/>
          <c:order val="1"/>
          <c:tx>
            <c:v>2011</c:v>
          </c:tx>
          <c:invertIfNegative val="0"/>
          <c:dLbls>
            <c:txPr>
              <a:bodyPr rot="0" vert="horz" anchor="t" anchorCtr="0"/>
              <a:lstStyle/>
              <a:p>
                <a:pPr>
                  <a:defRPr/>
                </a:pPr>
                <a:endParaRPr lang="pt-PT"/>
              </a:p>
            </c:txPr>
            <c:showLegendKey val="0"/>
            <c:showVal val="1"/>
            <c:showCatName val="0"/>
            <c:showSerName val="0"/>
            <c:showPercent val="0"/>
            <c:showBubbleSize val="0"/>
            <c:showLeaderLines val="0"/>
          </c:dLbls>
          <c:cat>
            <c:numLit>
              <c:formatCode>General</c:formatCode>
              <c:ptCount val="1"/>
              <c:pt idx="0">
                <c:v>2015</c:v>
              </c:pt>
            </c:numLit>
          </c:cat>
          <c:val>
            <c:numRef>
              <c:f>'2011 - MTBF, MTTF, Exponencial'!$Z$12</c:f>
              <c:numCache>
                <c:formatCode>General</c:formatCode>
                <c:ptCount val="1"/>
                <c:pt idx="0">
                  <c:v>177</c:v>
                </c:pt>
              </c:numCache>
            </c:numRef>
          </c:val>
        </c:ser>
        <c:ser>
          <c:idx val="3"/>
          <c:order val="2"/>
          <c:tx>
            <c:v>2012</c:v>
          </c:tx>
          <c:invertIfNegative val="0"/>
          <c:cat>
            <c:numLit>
              <c:formatCode>General</c:formatCode>
              <c:ptCount val="1"/>
              <c:pt idx="0">
                <c:v>2015</c:v>
              </c:pt>
            </c:numLit>
          </c:cat>
          <c:val>
            <c:numLit>
              <c:formatCode>General</c:formatCode>
              <c:ptCount val="1"/>
              <c:pt idx="0">
                <c:v>0</c:v>
              </c:pt>
            </c:numLit>
          </c:val>
        </c:ser>
        <c:ser>
          <c:idx val="2"/>
          <c:order val="3"/>
          <c:tx>
            <c:v>2013</c:v>
          </c:tx>
          <c:invertIfNegative val="0"/>
          <c:cat>
            <c:numLit>
              <c:formatCode>General</c:formatCode>
              <c:ptCount val="1"/>
              <c:pt idx="0">
                <c:v>2015</c:v>
              </c:pt>
            </c:numLit>
          </c:cat>
          <c:val>
            <c:numRef>
              <c:f>'2013 - MTBF, MTTF, Exponencial'!$Z$9</c:f>
              <c:numCache>
                <c:formatCode>General</c:formatCode>
                <c:ptCount val="1"/>
                <c:pt idx="0">
                  <c:v>179</c:v>
                </c:pt>
              </c:numCache>
            </c:numRef>
          </c:val>
        </c:ser>
        <c:ser>
          <c:idx val="1"/>
          <c:order val="4"/>
          <c:tx>
            <c:v>2014</c:v>
          </c:tx>
          <c:invertIfNegative val="0"/>
          <c:cat>
            <c:numLit>
              <c:formatCode>General</c:formatCode>
              <c:ptCount val="1"/>
              <c:pt idx="0">
                <c:v>2015</c:v>
              </c:pt>
            </c:numLit>
          </c:cat>
          <c:val>
            <c:numRef>
              <c:f>'2014 - MTBF, MTTF, Exp, Weibull'!#REF!</c:f>
              <c:numCache>
                <c:formatCode>General</c:formatCode>
                <c:ptCount val="1"/>
                <c:pt idx="0">
                  <c:v>1</c:v>
                </c:pt>
              </c:numCache>
            </c:numRef>
          </c:val>
        </c:ser>
        <c:ser>
          <c:idx val="0"/>
          <c:order val="5"/>
          <c:tx>
            <c:v>2015</c:v>
          </c:tx>
          <c:invertIfNegative val="0"/>
          <c:cat>
            <c:numLit>
              <c:formatCode>General</c:formatCode>
              <c:ptCount val="1"/>
              <c:pt idx="0">
                <c:v>2015</c:v>
              </c:pt>
            </c:numLit>
          </c:cat>
          <c:val>
            <c:numRef>
              <c:f>'2015 - MTBF, MTTF, Exponencial'!$Z$6</c:f>
              <c:numCache>
                <c:formatCode>General</c:formatCode>
                <c:ptCount val="1"/>
                <c:pt idx="0">
                  <c:v>359</c:v>
                </c:pt>
              </c:numCache>
            </c:numRef>
          </c:val>
        </c:ser>
        <c:dLbls>
          <c:showLegendKey val="0"/>
          <c:showVal val="1"/>
          <c:showCatName val="0"/>
          <c:showSerName val="0"/>
          <c:showPercent val="0"/>
          <c:showBubbleSize val="0"/>
        </c:dLbls>
        <c:gapWidth val="300"/>
        <c:shape val="box"/>
        <c:axId val="128442368"/>
        <c:axId val="128443904"/>
        <c:axId val="128438272"/>
      </c:bar3DChart>
      <c:catAx>
        <c:axId val="128442368"/>
        <c:scaling>
          <c:orientation val="minMax"/>
        </c:scaling>
        <c:delete val="1"/>
        <c:axPos val="b"/>
        <c:numFmt formatCode="General" sourceLinked="1"/>
        <c:majorTickMark val="none"/>
        <c:minorTickMark val="none"/>
        <c:tickLblPos val="nextTo"/>
        <c:crossAx val="128443904"/>
        <c:crosses val="autoZero"/>
        <c:auto val="1"/>
        <c:lblAlgn val="ctr"/>
        <c:lblOffset val="100"/>
        <c:noMultiLvlLbl val="0"/>
      </c:catAx>
      <c:valAx>
        <c:axId val="128443904"/>
        <c:scaling>
          <c:orientation val="minMax"/>
        </c:scaling>
        <c:delete val="0"/>
        <c:axPos val="l"/>
        <c:majorGridlines/>
        <c:minorGridlines/>
        <c:numFmt formatCode="General" sourceLinked="1"/>
        <c:majorTickMark val="out"/>
        <c:minorTickMark val="none"/>
        <c:tickLblPos val="nextTo"/>
        <c:crossAx val="128442368"/>
        <c:crosses val="autoZero"/>
        <c:crossBetween val="between"/>
      </c:valAx>
      <c:serAx>
        <c:axId val="128438272"/>
        <c:scaling>
          <c:orientation val="minMax"/>
        </c:scaling>
        <c:delete val="1"/>
        <c:axPos val="b"/>
        <c:majorTickMark val="none"/>
        <c:minorTickMark val="none"/>
        <c:tickLblPos val="nextTo"/>
        <c:crossAx val="128443904"/>
        <c:crosses val="autoZero"/>
      </c:serAx>
    </c:plotArea>
    <c:legend>
      <c:legendPos val="r"/>
      <c:layout/>
      <c:overlay val="0"/>
    </c:legend>
    <c:plotVisOnly val="1"/>
    <c:dispBlanksAs val="gap"/>
    <c:showDLblsOverMax val="0"/>
  </c:chart>
  <c:printSettings>
    <c:headerFooter/>
    <c:pageMargins b="0.75" l="0.7" r="0.7" t="0.75" header="0.3" footer="0.3"/>
    <c:pageSetup/>
  </c:printSettings>
</c:chartSpace>
</file>

<file path=xl/charts/chart204.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a:pPr>
            <a:r>
              <a:rPr lang="pt-PT"/>
              <a:t>MTBF - </a:t>
            </a:r>
            <a:r>
              <a:rPr lang="pt-PT" sz="1800" b="1" i="0" u="none" strike="noStrike" baseline="0">
                <a:effectLst/>
              </a:rPr>
              <a:t>Urb. - Serra de Lagares</a:t>
            </a:r>
            <a:endParaRPr lang="pt-PT" baseline="0"/>
          </a:p>
        </c:rich>
      </c:tx>
      <c:layout/>
      <c:overlay val="0"/>
    </c:title>
    <c:autoTitleDeleted val="0"/>
    <c:view3D>
      <c:rotX val="10"/>
      <c:hPercent val="100"/>
      <c:rotY val="70"/>
      <c:depthPercent val="100"/>
      <c:rAngAx val="0"/>
      <c:perspective val="0"/>
    </c:view3D>
    <c:floor>
      <c:thickness val="0"/>
    </c:floor>
    <c:sideWall>
      <c:thickness val="0"/>
    </c:sideWall>
    <c:backWall>
      <c:thickness val="0"/>
    </c:backWall>
    <c:plotArea>
      <c:layout>
        <c:manualLayout>
          <c:layoutTarget val="inner"/>
          <c:xMode val="edge"/>
          <c:yMode val="edge"/>
          <c:x val="7.0883357626873478E-2"/>
          <c:y val="0.23228055962803945"/>
          <c:w val="0.70223214622210628"/>
          <c:h val="0.60242701087055972"/>
        </c:manualLayout>
      </c:layout>
      <c:bar3DChart>
        <c:barDir val="col"/>
        <c:grouping val="standard"/>
        <c:varyColors val="0"/>
        <c:ser>
          <c:idx val="5"/>
          <c:order val="0"/>
          <c:tx>
            <c:v>2010</c:v>
          </c:tx>
          <c:invertIfNegative val="0"/>
          <c:cat>
            <c:numLit>
              <c:formatCode>General</c:formatCode>
              <c:ptCount val="1"/>
              <c:pt idx="0">
                <c:v>2015</c:v>
              </c:pt>
            </c:numLit>
          </c:cat>
          <c:val>
            <c:numLit>
              <c:formatCode>General</c:formatCode>
              <c:ptCount val="1"/>
              <c:pt idx="0">
                <c:v>0</c:v>
              </c:pt>
            </c:numLit>
          </c:val>
        </c:ser>
        <c:ser>
          <c:idx val="4"/>
          <c:order val="1"/>
          <c:tx>
            <c:v>2011</c:v>
          </c:tx>
          <c:invertIfNegative val="0"/>
          <c:dLbls>
            <c:txPr>
              <a:bodyPr rot="0" vert="horz" anchor="t" anchorCtr="0"/>
              <a:lstStyle/>
              <a:p>
                <a:pPr>
                  <a:defRPr/>
                </a:pPr>
                <a:endParaRPr lang="pt-PT"/>
              </a:p>
            </c:txPr>
            <c:showLegendKey val="0"/>
            <c:showVal val="1"/>
            <c:showCatName val="0"/>
            <c:showSerName val="0"/>
            <c:showPercent val="0"/>
            <c:showBubbleSize val="0"/>
            <c:showLeaderLines val="0"/>
          </c:dLbls>
          <c:cat>
            <c:numLit>
              <c:formatCode>General</c:formatCode>
              <c:ptCount val="1"/>
              <c:pt idx="0">
                <c:v>2015</c:v>
              </c:pt>
            </c:numLit>
          </c:cat>
          <c:val>
            <c:numRef>
              <c:f>'2011 - MTBF, MTTF, Exponencial'!$Z$14</c:f>
              <c:numCache>
                <c:formatCode>General</c:formatCode>
                <c:ptCount val="1"/>
                <c:pt idx="0">
                  <c:v>355</c:v>
                </c:pt>
              </c:numCache>
            </c:numRef>
          </c:val>
        </c:ser>
        <c:ser>
          <c:idx val="3"/>
          <c:order val="2"/>
          <c:tx>
            <c:v>2012</c:v>
          </c:tx>
          <c:invertIfNegative val="0"/>
          <c:cat>
            <c:numLit>
              <c:formatCode>General</c:formatCode>
              <c:ptCount val="1"/>
              <c:pt idx="0">
                <c:v>2015</c:v>
              </c:pt>
            </c:numLit>
          </c:cat>
          <c:val>
            <c:numRef>
              <c:f>'2012 - MTBF, MTTF, Exponencial'!$Z$9</c:f>
              <c:numCache>
                <c:formatCode>General</c:formatCode>
                <c:ptCount val="1"/>
                <c:pt idx="0">
                  <c:v>179</c:v>
                </c:pt>
              </c:numCache>
            </c:numRef>
          </c:val>
        </c:ser>
        <c:ser>
          <c:idx val="2"/>
          <c:order val="3"/>
          <c:tx>
            <c:v>2013</c:v>
          </c:tx>
          <c:invertIfNegative val="0"/>
          <c:cat>
            <c:numLit>
              <c:formatCode>General</c:formatCode>
              <c:ptCount val="1"/>
              <c:pt idx="0">
                <c:v>2015</c:v>
              </c:pt>
            </c:numLit>
          </c:cat>
          <c:val>
            <c:numLit>
              <c:formatCode>General</c:formatCode>
              <c:ptCount val="1"/>
              <c:pt idx="0">
                <c:v>0</c:v>
              </c:pt>
            </c:numLit>
          </c:val>
        </c:ser>
        <c:ser>
          <c:idx val="1"/>
          <c:order val="4"/>
          <c:tx>
            <c:v>2014</c:v>
          </c:tx>
          <c:invertIfNegative val="0"/>
          <c:cat>
            <c:numLit>
              <c:formatCode>General</c:formatCode>
              <c:ptCount val="1"/>
              <c:pt idx="0">
                <c:v>2015</c:v>
              </c:pt>
            </c:numLit>
          </c:cat>
          <c:val>
            <c:numRef>
              <c:f>'2014 - MTBF, MTTF, Exp, Weibull'!#REF!</c:f>
              <c:numCache>
                <c:formatCode>General</c:formatCode>
                <c:ptCount val="1"/>
                <c:pt idx="0">
                  <c:v>1</c:v>
                </c:pt>
              </c:numCache>
            </c:numRef>
          </c:val>
        </c:ser>
        <c:ser>
          <c:idx val="0"/>
          <c:order val="5"/>
          <c:tx>
            <c:v>2015</c:v>
          </c:tx>
          <c:invertIfNegative val="0"/>
          <c:cat>
            <c:numLit>
              <c:formatCode>General</c:formatCode>
              <c:ptCount val="1"/>
              <c:pt idx="0">
                <c:v>2015</c:v>
              </c:pt>
            </c:numLit>
          </c:cat>
          <c:val>
            <c:numRef>
              <c:f>'2015 - MTBF, MTTF, Exponencial'!$Z$9</c:f>
              <c:numCache>
                <c:formatCode>General</c:formatCode>
                <c:ptCount val="1"/>
                <c:pt idx="0">
                  <c:v>179</c:v>
                </c:pt>
              </c:numCache>
            </c:numRef>
          </c:val>
        </c:ser>
        <c:dLbls>
          <c:showLegendKey val="0"/>
          <c:showVal val="1"/>
          <c:showCatName val="0"/>
          <c:showSerName val="0"/>
          <c:showPercent val="0"/>
          <c:showBubbleSize val="0"/>
        </c:dLbls>
        <c:gapWidth val="300"/>
        <c:shape val="box"/>
        <c:axId val="128522880"/>
        <c:axId val="128532864"/>
        <c:axId val="128441856"/>
      </c:bar3DChart>
      <c:catAx>
        <c:axId val="128522880"/>
        <c:scaling>
          <c:orientation val="minMax"/>
        </c:scaling>
        <c:delete val="1"/>
        <c:axPos val="b"/>
        <c:numFmt formatCode="General" sourceLinked="1"/>
        <c:majorTickMark val="none"/>
        <c:minorTickMark val="none"/>
        <c:tickLblPos val="nextTo"/>
        <c:crossAx val="128532864"/>
        <c:crosses val="autoZero"/>
        <c:auto val="1"/>
        <c:lblAlgn val="ctr"/>
        <c:lblOffset val="100"/>
        <c:noMultiLvlLbl val="0"/>
      </c:catAx>
      <c:valAx>
        <c:axId val="128532864"/>
        <c:scaling>
          <c:orientation val="minMax"/>
        </c:scaling>
        <c:delete val="0"/>
        <c:axPos val="l"/>
        <c:majorGridlines/>
        <c:minorGridlines/>
        <c:numFmt formatCode="General" sourceLinked="1"/>
        <c:majorTickMark val="out"/>
        <c:minorTickMark val="none"/>
        <c:tickLblPos val="nextTo"/>
        <c:crossAx val="128522880"/>
        <c:crosses val="autoZero"/>
        <c:crossBetween val="between"/>
      </c:valAx>
      <c:serAx>
        <c:axId val="128441856"/>
        <c:scaling>
          <c:orientation val="minMax"/>
        </c:scaling>
        <c:delete val="1"/>
        <c:axPos val="b"/>
        <c:majorTickMark val="none"/>
        <c:minorTickMark val="none"/>
        <c:tickLblPos val="nextTo"/>
        <c:crossAx val="128532864"/>
        <c:crosses val="autoZero"/>
      </c:serAx>
    </c:plotArea>
    <c:legend>
      <c:legendPos val="r"/>
      <c:layout/>
      <c:overlay val="0"/>
    </c:legend>
    <c:plotVisOnly val="1"/>
    <c:dispBlanksAs val="gap"/>
    <c:showDLblsOverMax val="0"/>
  </c:chart>
  <c:printSettings>
    <c:headerFooter/>
    <c:pageMargins b="0.75" l="0.7" r="0.7" t="0.75" header="0.3" footer="0.3"/>
    <c:pageSetup/>
  </c:printSettings>
</c:chartSpace>
</file>

<file path=xl/charts/chart205.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a:pPr>
            <a:r>
              <a:rPr lang="pt-PT"/>
              <a:t>MTBF - </a:t>
            </a:r>
            <a:r>
              <a:rPr lang="pt-PT" sz="1800" b="1" i="0" u="none" strike="noStrike" baseline="0">
                <a:effectLst/>
              </a:rPr>
              <a:t>Urb. - Estacionamento auto</a:t>
            </a:r>
            <a:endParaRPr lang="pt-PT" baseline="0"/>
          </a:p>
        </c:rich>
      </c:tx>
      <c:layout/>
      <c:overlay val="0"/>
    </c:title>
    <c:autoTitleDeleted val="0"/>
    <c:view3D>
      <c:rotX val="10"/>
      <c:hPercent val="100"/>
      <c:rotY val="70"/>
      <c:depthPercent val="100"/>
      <c:rAngAx val="0"/>
      <c:perspective val="0"/>
    </c:view3D>
    <c:floor>
      <c:thickness val="0"/>
    </c:floor>
    <c:sideWall>
      <c:thickness val="0"/>
    </c:sideWall>
    <c:backWall>
      <c:thickness val="0"/>
    </c:backWall>
    <c:plotArea>
      <c:layout>
        <c:manualLayout>
          <c:layoutTarget val="inner"/>
          <c:xMode val="edge"/>
          <c:yMode val="edge"/>
          <c:x val="7.0883357626873478E-2"/>
          <c:y val="0.23228055962803945"/>
          <c:w val="0.70223214622210628"/>
          <c:h val="0.60242701087055972"/>
        </c:manualLayout>
      </c:layout>
      <c:bar3DChart>
        <c:barDir val="col"/>
        <c:grouping val="standard"/>
        <c:varyColors val="0"/>
        <c:ser>
          <c:idx val="5"/>
          <c:order val="0"/>
          <c:tx>
            <c:v>2010</c:v>
          </c:tx>
          <c:invertIfNegative val="0"/>
          <c:cat>
            <c:numLit>
              <c:formatCode>General</c:formatCode>
              <c:ptCount val="1"/>
              <c:pt idx="0">
                <c:v>2015</c:v>
              </c:pt>
            </c:numLit>
          </c:cat>
          <c:val>
            <c:numRef>
              <c:f>'2010 - MTBF, MTTF, Exponencial'!$Z$6</c:f>
              <c:numCache>
                <c:formatCode>General</c:formatCode>
                <c:ptCount val="1"/>
                <c:pt idx="0">
                  <c:v>359</c:v>
                </c:pt>
              </c:numCache>
            </c:numRef>
          </c:val>
        </c:ser>
        <c:ser>
          <c:idx val="4"/>
          <c:order val="1"/>
          <c:tx>
            <c:v>2011</c:v>
          </c:tx>
          <c:invertIfNegative val="0"/>
          <c:dLbls>
            <c:txPr>
              <a:bodyPr rot="0" vert="horz" anchor="t" anchorCtr="0"/>
              <a:lstStyle/>
              <a:p>
                <a:pPr>
                  <a:defRPr/>
                </a:pPr>
                <a:endParaRPr lang="pt-PT"/>
              </a:p>
            </c:txPr>
            <c:showLegendKey val="0"/>
            <c:showVal val="1"/>
            <c:showCatName val="0"/>
            <c:showSerName val="0"/>
            <c:showPercent val="0"/>
            <c:showBubbleSize val="0"/>
            <c:showLeaderLines val="0"/>
          </c:dLbls>
          <c:cat>
            <c:numLit>
              <c:formatCode>General</c:formatCode>
              <c:ptCount val="1"/>
              <c:pt idx="0">
                <c:v>2015</c:v>
              </c:pt>
            </c:numLit>
          </c:cat>
          <c:val>
            <c:numRef>
              <c:f>'2011 - MTBF, MTTF, Exponencial'!$Z$16</c:f>
              <c:numCache>
                <c:formatCode>General</c:formatCode>
                <c:ptCount val="1"/>
                <c:pt idx="0">
                  <c:v>355</c:v>
                </c:pt>
              </c:numCache>
            </c:numRef>
          </c:val>
        </c:ser>
        <c:ser>
          <c:idx val="3"/>
          <c:order val="2"/>
          <c:tx>
            <c:v>2012</c:v>
          </c:tx>
          <c:invertIfNegative val="0"/>
          <c:cat>
            <c:numLit>
              <c:formatCode>General</c:formatCode>
              <c:ptCount val="1"/>
              <c:pt idx="0">
                <c:v>2015</c:v>
              </c:pt>
            </c:numLit>
          </c:cat>
          <c:val>
            <c:numRef>
              <c:f>'2012 - MTBF, MTTF, Exponencial'!$Z$13</c:f>
              <c:numCache>
                <c:formatCode>General</c:formatCode>
                <c:ptCount val="1"/>
                <c:pt idx="0">
                  <c:v>119</c:v>
                </c:pt>
              </c:numCache>
            </c:numRef>
          </c:val>
        </c:ser>
        <c:ser>
          <c:idx val="2"/>
          <c:order val="3"/>
          <c:tx>
            <c:v>2013</c:v>
          </c:tx>
          <c:invertIfNegative val="0"/>
          <c:cat>
            <c:numLit>
              <c:formatCode>General</c:formatCode>
              <c:ptCount val="1"/>
              <c:pt idx="0">
                <c:v>2015</c:v>
              </c:pt>
            </c:numLit>
          </c:cat>
          <c:val>
            <c:numRef>
              <c:f>'2013 - MTBF, MTTF, Exponencial'!$Z$11</c:f>
              <c:numCache>
                <c:formatCode>General</c:formatCode>
                <c:ptCount val="1"/>
                <c:pt idx="0">
                  <c:v>359</c:v>
                </c:pt>
              </c:numCache>
            </c:numRef>
          </c:val>
        </c:ser>
        <c:ser>
          <c:idx val="1"/>
          <c:order val="4"/>
          <c:tx>
            <c:v>2014</c:v>
          </c:tx>
          <c:invertIfNegative val="0"/>
          <c:cat>
            <c:numLit>
              <c:formatCode>General</c:formatCode>
              <c:ptCount val="1"/>
              <c:pt idx="0">
                <c:v>2015</c:v>
              </c:pt>
            </c:numLit>
          </c:cat>
          <c:val>
            <c:numRef>
              <c:f>'2014 - MTBF, MTTF, Exp, Weibull'!#REF!</c:f>
              <c:numCache>
                <c:formatCode>General</c:formatCode>
                <c:ptCount val="1"/>
                <c:pt idx="0">
                  <c:v>1</c:v>
                </c:pt>
              </c:numCache>
            </c:numRef>
          </c:val>
        </c:ser>
        <c:ser>
          <c:idx val="0"/>
          <c:order val="5"/>
          <c:tx>
            <c:v>2015</c:v>
          </c:tx>
          <c:invertIfNegative val="0"/>
          <c:cat>
            <c:numLit>
              <c:formatCode>General</c:formatCode>
              <c:ptCount val="1"/>
              <c:pt idx="0">
                <c:v>2015</c:v>
              </c:pt>
            </c:numLit>
          </c:cat>
          <c:val>
            <c:numLit>
              <c:formatCode>General</c:formatCode>
              <c:ptCount val="1"/>
              <c:pt idx="0">
                <c:v>0</c:v>
              </c:pt>
            </c:numLit>
          </c:val>
        </c:ser>
        <c:dLbls>
          <c:showLegendKey val="0"/>
          <c:showVal val="1"/>
          <c:showCatName val="0"/>
          <c:showSerName val="0"/>
          <c:showPercent val="0"/>
          <c:showBubbleSize val="0"/>
        </c:dLbls>
        <c:gapWidth val="300"/>
        <c:shape val="box"/>
        <c:axId val="128647936"/>
        <c:axId val="128649472"/>
        <c:axId val="128519232"/>
      </c:bar3DChart>
      <c:catAx>
        <c:axId val="128647936"/>
        <c:scaling>
          <c:orientation val="minMax"/>
        </c:scaling>
        <c:delete val="1"/>
        <c:axPos val="b"/>
        <c:numFmt formatCode="General" sourceLinked="1"/>
        <c:majorTickMark val="none"/>
        <c:minorTickMark val="none"/>
        <c:tickLblPos val="nextTo"/>
        <c:crossAx val="128649472"/>
        <c:crosses val="autoZero"/>
        <c:auto val="1"/>
        <c:lblAlgn val="ctr"/>
        <c:lblOffset val="100"/>
        <c:noMultiLvlLbl val="0"/>
      </c:catAx>
      <c:valAx>
        <c:axId val="128649472"/>
        <c:scaling>
          <c:orientation val="minMax"/>
        </c:scaling>
        <c:delete val="0"/>
        <c:axPos val="l"/>
        <c:majorGridlines/>
        <c:minorGridlines/>
        <c:numFmt formatCode="General" sourceLinked="1"/>
        <c:majorTickMark val="out"/>
        <c:minorTickMark val="none"/>
        <c:tickLblPos val="nextTo"/>
        <c:crossAx val="128647936"/>
        <c:crosses val="autoZero"/>
        <c:crossBetween val="between"/>
      </c:valAx>
      <c:serAx>
        <c:axId val="128519232"/>
        <c:scaling>
          <c:orientation val="minMax"/>
        </c:scaling>
        <c:delete val="1"/>
        <c:axPos val="b"/>
        <c:majorTickMark val="none"/>
        <c:minorTickMark val="none"/>
        <c:tickLblPos val="nextTo"/>
        <c:crossAx val="128649472"/>
        <c:crosses val="autoZero"/>
      </c:serAx>
    </c:plotArea>
    <c:legend>
      <c:legendPos val="r"/>
      <c:layout/>
      <c:overlay val="0"/>
    </c:legend>
    <c:plotVisOnly val="1"/>
    <c:dispBlanksAs val="gap"/>
    <c:showDLblsOverMax val="0"/>
  </c:chart>
  <c:printSettings>
    <c:headerFooter/>
    <c:pageMargins b="0.75" l="0.7" r="0.7" t="0.75" header="0.3" footer="0.3"/>
    <c:pageSetup/>
  </c:printSettings>
</c:chartSpace>
</file>

<file path=xl/charts/chart206.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a:pPr>
            <a:r>
              <a:rPr lang="pt-PT"/>
              <a:t>MTBF - </a:t>
            </a:r>
            <a:r>
              <a:rPr lang="pt-PT" sz="1800" b="1" i="0" u="none" strike="noStrike" baseline="0">
                <a:effectLst/>
              </a:rPr>
              <a:t>Urb. - Ponte do rio</a:t>
            </a:r>
            <a:endParaRPr lang="pt-PT" baseline="0"/>
          </a:p>
        </c:rich>
      </c:tx>
      <c:layout/>
      <c:overlay val="0"/>
    </c:title>
    <c:autoTitleDeleted val="0"/>
    <c:view3D>
      <c:rotX val="10"/>
      <c:hPercent val="100"/>
      <c:rotY val="70"/>
      <c:depthPercent val="100"/>
      <c:rAngAx val="0"/>
      <c:perspective val="0"/>
    </c:view3D>
    <c:floor>
      <c:thickness val="0"/>
    </c:floor>
    <c:sideWall>
      <c:thickness val="0"/>
    </c:sideWall>
    <c:backWall>
      <c:thickness val="0"/>
    </c:backWall>
    <c:plotArea>
      <c:layout>
        <c:manualLayout>
          <c:layoutTarget val="inner"/>
          <c:xMode val="edge"/>
          <c:yMode val="edge"/>
          <c:x val="7.0883357626873478E-2"/>
          <c:y val="0.23228055962803945"/>
          <c:w val="0.70223214622210628"/>
          <c:h val="0.60242701087055972"/>
        </c:manualLayout>
      </c:layout>
      <c:bar3DChart>
        <c:barDir val="col"/>
        <c:grouping val="standard"/>
        <c:varyColors val="0"/>
        <c:ser>
          <c:idx val="5"/>
          <c:order val="0"/>
          <c:tx>
            <c:v>2010</c:v>
          </c:tx>
          <c:invertIfNegative val="0"/>
          <c:cat>
            <c:numLit>
              <c:formatCode>General</c:formatCode>
              <c:ptCount val="1"/>
              <c:pt idx="0">
                <c:v>2015</c:v>
              </c:pt>
            </c:numLit>
          </c:cat>
          <c:val>
            <c:numLit>
              <c:formatCode>General</c:formatCode>
              <c:ptCount val="1"/>
              <c:pt idx="0">
                <c:v>0</c:v>
              </c:pt>
            </c:numLit>
          </c:val>
        </c:ser>
        <c:ser>
          <c:idx val="4"/>
          <c:order val="1"/>
          <c:tx>
            <c:v>2011</c:v>
          </c:tx>
          <c:invertIfNegative val="0"/>
          <c:dLbls>
            <c:txPr>
              <a:bodyPr rot="0" vert="horz" anchor="t" anchorCtr="0"/>
              <a:lstStyle/>
              <a:p>
                <a:pPr>
                  <a:defRPr/>
                </a:pPr>
                <a:endParaRPr lang="pt-PT"/>
              </a:p>
            </c:txPr>
            <c:showLegendKey val="0"/>
            <c:showVal val="1"/>
            <c:showCatName val="0"/>
            <c:showSerName val="0"/>
            <c:showPercent val="0"/>
            <c:showBubbleSize val="0"/>
            <c:showLeaderLines val="0"/>
          </c:dLbls>
          <c:cat>
            <c:numLit>
              <c:formatCode>General</c:formatCode>
              <c:ptCount val="1"/>
              <c:pt idx="0">
                <c:v>2015</c:v>
              </c:pt>
            </c:numLit>
          </c:cat>
          <c:val>
            <c:numRef>
              <c:f>'2011 - MTBF, MTTF, Exponencial'!$Z$18</c:f>
              <c:numCache>
                <c:formatCode>General</c:formatCode>
                <c:ptCount val="1"/>
                <c:pt idx="0">
                  <c:v>355</c:v>
                </c:pt>
              </c:numCache>
            </c:numRef>
          </c:val>
        </c:ser>
        <c:ser>
          <c:idx val="3"/>
          <c:order val="2"/>
          <c:tx>
            <c:v>2012</c:v>
          </c:tx>
          <c:invertIfNegative val="0"/>
          <c:cat>
            <c:numLit>
              <c:formatCode>General</c:formatCode>
              <c:ptCount val="1"/>
              <c:pt idx="0">
                <c:v>2015</c:v>
              </c:pt>
            </c:numLit>
          </c:cat>
          <c:val>
            <c:numLit>
              <c:formatCode>General</c:formatCode>
              <c:ptCount val="1"/>
              <c:pt idx="0">
                <c:v>0</c:v>
              </c:pt>
            </c:numLit>
          </c:val>
        </c:ser>
        <c:ser>
          <c:idx val="2"/>
          <c:order val="3"/>
          <c:tx>
            <c:v>2013</c:v>
          </c:tx>
          <c:invertIfNegative val="0"/>
          <c:cat>
            <c:numLit>
              <c:formatCode>General</c:formatCode>
              <c:ptCount val="1"/>
              <c:pt idx="0">
                <c:v>2015</c:v>
              </c:pt>
            </c:numLit>
          </c:cat>
          <c:val>
            <c:numLit>
              <c:formatCode>General</c:formatCode>
              <c:ptCount val="1"/>
              <c:pt idx="0">
                <c:v>0</c:v>
              </c:pt>
            </c:numLit>
          </c:val>
        </c:ser>
        <c:ser>
          <c:idx val="1"/>
          <c:order val="4"/>
          <c:tx>
            <c:v>2014</c:v>
          </c:tx>
          <c:invertIfNegative val="0"/>
          <c:cat>
            <c:numLit>
              <c:formatCode>General</c:formatCode>
              <c:ptCount val="1"/>
              <c:pt idx="0">
                <c:v>2015</c:v>
              </c:pt>
            </c:numLit>
          </c:cat>
          <c:val>
            <c:numRef>
              <c:f>'2014 - MTBF, MTTF, Exp, Weibull'!#REF!</c:f>
              <c:numCache>
                <c:formatCode>General</c:formatCode>
                <c:ptCount val="1"/>
                <c:pt idx="0">
                  <c:v>1</c:v>
                </c:pt>
              </c:numCache>
            </c:numRef>
          </c:val>
        </c:ser>
        <c:ser>
          <c:idx val="0"/>
          <c:order val="5"/>
          <c:tx>
            <c:v>2015</c:v>
          </c:tx>
          <c:invertIfNegative val="0"/>
          <c:cat>
            <c:numLit>
              <c:formatCode>General</c:formatCode>
              <c:ptCount val="1"/>
              <c:pt idx="0">
                <c:v>2015</c:v>
              </c:pt>
            </c:numLit>
          </c:cat>
          <c:val>
            <c:numRef>
              <c:f>'2015 - MTBF, MTTF, Exponencial'!$Z$12</c:f>
              <c:numCache>
                <c:formatCode>General</c:formatCode>
                <c:ptCount val="1"/>
                <c:pt idx="0">
                  <c:v>177</c:v>
                </c:pt>
              </c:numCache>
            </c:numRef>
          </c:val>
        </c:ser>
        <c:dLbls>
          <c:showLegendKey val="0"/>
          <c:showVal val="1"/>
          <c:showCatName val="0"/>
          <c:showSerName val="0"/>
          <c:showPercent val="0"/>
          <c:showBubbleSize val="0"/>
        </c:dLbls>
        <c:gapWidth val="300"/>
        <c:shape val="box"/>
        <c:axId val="128703104"/>
        <c:axId val="128795008"/>
        <c:axId val="128567936"/>
      </c:bar3DChart>
      <c:catAx>
        <c:axId val="128703104"/>
        <c:scaling>
          <c:orientation val="minMax"/>
        </c:scaling>
        <c:delete val="1"/>
        <c:axPos val="b"/>
        <c:numFmt formatCode="General" sourceLinked="1"/>
        <c:majorTickMark val="none"/>
        <c:minorTickMark val="none"/>
        <c:tickLblPos val="nextTo"/>
        <c:crossAx val="128795008"/>
        <c:crosses val="autoZero"/>
        <c:auto val="1"/>
        <c:lblAlgn val="ctr"/>
        <c:lblOffset val="100"/>
        <c:noMultiLvlLbl val="0"/>
      </c:catAx>
      <c:valAx>
        <c:axId val="128795008"/>
        <c:scaling>
          <c:orientation val="minMax"/>
        </c:scaling>
        <c:delete val="0"/>
        <c:axPos val="l"/>
        <c:majorGridlines/>
        <c:minorGridlines/>
        <c:numFmt formatCode="General" sourceLinked="1"/>
        <c:majorTickMark val="out"/>
        <c:minorTickMark val="none"/>
        <c:tickLblPos val="nextTo"/>
        <c:crossAx val="128703104"/>
        <c:crosses val="autoZero"/>
        <c:crossBetween val="between"/>
      </c:valAx>
      <c:serAx>
        <c:axId val="128567936"/>
        <c:scaling>
          <c:orientation val="minMax"/>
        </c:scaling>
        <c:delete val="1"/>
        <c:axPos val="b"/>
        <c:majorTickMark val="none"/>
        <c:minorTickMark val="none"/>
        <c:tickLblPos val="nextTo"/>
        <c:crossAx val="128795008"/>
        <c:crosses val="autoZero"/>
      </c:serAx>
    </c:plotArea>
    <c:legend>
      <c:legendPos val="r"/>
      <c:layout/>
      <c:overlay val="0"/>
    </c:legend>
    <c:plotVisOnly val="1"/>
    <c:dispBlanksAs val="gap"/>
    <c:showDLblsOverMax val="0"/>
  </c:chart>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Total de avarias Moinhos</c:v>
          </c:tx>
          <c:invertIfNegative val="0"/>
          <c:dLbls>
            <c:dLbl>
              <c:idx val="0"/>
              <c:layout/>
              <c:showLegendKey val="0"/>
              <c:showVal val="1"/>
              <c:showCatName val="0"/>
              <c:showSerName val="0"/>
              <c:showPercent val="0"/>
              <c:showBubbleSize val="0"/>
            </c:dLbl>
            <c:numFmt formatCode="#,##0;\-#,##0" sourceLinked="0"/>
            <c:txPr>
              <a:bodyPr/>
              <a:lstStyle/>
              <a:p>
                <a:pPr>
                  <a:defRPr b="1"/>
                </a:pPr>
                <a:endParaRPr lang="pt-PT"/>
              </a:p>
            </c:txPr>
            <c:showLegendKey val="0"/>
            <c:showVal val="0"/>
            <c:showCatName val="0"/>
            <c:showSerName val="0"/>
            <c:showPercent val="0"/>
            <c:showBubbleSize val="0"/>
          </c:dLbls>
          <c:cat>
            <c:numRef>
              <c:f>'2014 - Gráficos'!$F$20</c:f>
              <c:numCache>
                <c:formatCode>General</c:formatCode>
                <c:ptCount val="1"/>
                <c:pt idx="0">
                  <c:v>37</c:v>
                </c:pt>
              </c:numCache>
            </c:numRef>
          </c:cat>
          <c:val>
            <c:numRef>
              <c:f>'2014 - Gráficos'!$G$20</c:f>
              <c:numCache>
                <c:formatCode>0</c:formatCode>
                <c:ptCount val="1"/>
                <c:pt idx="0">
                  <c:v>1</c:v>
                </c:pt>
              </c:numCache>
            </c:numRef>
          </c:val>
        </c:ser>
        <c:dLbls>
          <c:showLegendKey val="0"/>
          <c:showVal val="0"/>
          <c:showCatName val="0"/>
          <c:showSerName val="0"/>
          <c:showPercent val="0"/>
          <c:showBubbleSize val="0"/>
        </c:dLbls>
        <c:gapWidth val="300"/>
        <c:axId val="107394560"/>
        <c:axId val="107396096"/>
      </c:barChart>
      <c:catAx>
        <c:axId val="107394560"/>
        <c:scaling>
          <c:orientation val="minMax"/>
        </c:scaling>
        <c:delete val="0"/>
        <c:axPos val="b"/>
        <c:numFmt formatCode="General" sourceLinked="1"/>
        <c:majorTickMark val="none"/>
        <c:minorTickMark val="none"/>
        <c:tickLblPos val="nextTo"/>
        <c:crossAx val="107396096"/>
        <c:crosses val="autoZero"/>
        <c:auto val="1"/>
        <c:lblAlgn val="ctr"/>
        <c:lblOffset val="100"/>
        <c:noMultiLvlLbl val="0"/>
      </c:catAx>
      <c:valAx>
        <c:axId val="107396096"/>
        <c:scaling>
          <c:orientation val="minMax"/>
        </c:scaling>
        <c:delete val="0"/>
        <c:axPos val="l"/>
        <c:majorGridlines/>
        <c:minorGridlines/>
        <c:numFmt formatCode="0" sourceLinked="1"/>
        <c:majorTickMark val="out"/>
        <c:minorTickMark val="none"/>
        <c:tickLblPos val="nextTo"/>
        <c:crossAx val="107394560"/>
        <c:crosses val="autoZero"/>
        <c:crossBetween val="between"/>
      </c:valAx>
    </c:plotArea>
    <c:legend>
      <c:legendPos val="r"/>
      <c:layout/>
      <c:overlay val="0"/>
    </c:legend>
    <c:plotVisOnly val="1"/>
    <c:dispBlanksAs val="gap"/>
    <c:showDLblsOverMax val="0"/>
  </c:chart>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Total de avarias Postos Urb.</c:v>
          </c:tx>
          <c:invertIfNegative val="0"/>
          <c:dLbls>
            <c:numFmt formatCode="#,##0;\-#,##0" sourceLinked="0"/>
            <c:txPr>
              <a:bodyPr/>
              <a:lstStyle/>
              <a:p>
                <a:pPr>
                  <a:defRPr b="1"/>
                </a:pPr>
                <a:endParaRPr lang="pt-PT"/>
              </a:p>
            </c:txPr>
            <c:showLegendKey val="0"/>
            <c:showVal val="1"/>
            <c:showCatName val="0"/>
            <c:showSerName val="0"/>
            <c:showPercent val="0"/>
            <c:showBubbleSize val="0"/>
            <c:showLeaderLines val="0"/>
          </c:dLbls>
          <c:cat>
            <c:numRef>
              <c:f>'2014 - Gráficos'!$F$21:$F$24</c:f>
              <c:numCache>
                <c:formatCode>General</c:formatCode>
                <c:ptCount val="4"/>
                <c:pt idx="0">
                  <c:v>126</c:v>
                </c:pt>
                <c:pt idx="1">
                  <c:v>180</c:v>
                </c:pt>
                <c:pt idx="2">
                  <c:v>187</c:v>
                </c:pt>
                <c:pt idx="3">
                  <c:v>211</c:v>
                </c:pt>
              </c:numCache>
            </c:numRef>
          </c:cat>
          <c:val>
            <c:numRef>
              <c:f>'2014 - Gráficos'!$G$21:$G$24</c:f>
              <c:numCache>
                <c:formatCode>0</c:formatCode>
                <c:ptCount val="4"/>
                <c:pt idx="0">
                  <c:v>1</c:v>
                </c:pt>
                <c:pt idx="1">
                  <c:v>1</c:v>
                </c:pt>
                <c:pt idx="2">
                  <c:v>1</c:v>
                </c:pt>
                <c:pt idx="3">
                  <c:v>1</c:v>
                </c:pt>
              </c:numCache>
            </c:numRef>
          </c:val>
        </c:ser>
        <c:dLbls>
          <c:showLegendKey val="0"/>
          <c:showVal val="0"/>
          <c:showCatName val="0"/>
          <c:showSerName val="0"/>
          <c:showPercent val="0"/>
          <c:showBubbleSize val="0"/>
        </c:dLbls>
        <c:gapWidth val="300"/>
        <c:axId val="107412480"/>
        <c:axId val="109785856"/>
      </c:barChart>
      <c:catAx>
        <c:axId val="107412480"/>
        <c:scaling>
          <c:orientation val="minMax"/>
        </c:scaling>
        <c:delete val="0"/>
        <c:axPos val="b"/>
        <c:numFmt formatCode="General" sourceLinked="1"/>
        <c:majorTickMark val="none"/>
        <c:minorTickMark val="none"/>
        <c:tickLblPos val="nextTo"/>
        <c:crossAx val="109785856"/>
        <c:crosses val="autoZero"/>
        <c:auto val="1"/>
        <c:lblAlgn val="ctr"/>
        <c:lblOffset val="100"/>
        <c:noMultiLvlLbl val="0"/>
      </c:catAx>
      <c:valAx>
        <c:axId val="109785856"/>
        <c:scaling>
          <c:orientation val="minMax"/>
        </c:scaling>
        <c:delete val="0"/>
        <c:axPos val="l"/>
        <c:majorGridlines/>
        <c:minorGridlines/>
        <c:numFmt formatCode="0" sourceLinked="1"/>
        <c:majorTickMark val="out"/>
        <c:minorTickMark val="none"/>
        <c:tickLblPos val="nextTo"/>
        <c:crossAx val="107412480"/>
        <c:crosses val="autoZero"/>
        <c:crossBetween val="between"/>
      </c:valAx>
    </c:plotArea>
    <c:legend>
      <c:legendPos val="r"/>
      <c:layout/>
      <c:overlay val="0"/>
    </c:legend>
    <c:plotVisOnly val="1"/>
    <c:dispBlanksAs val="gap"/>
    <c:showDLblsOverMax val="0"/>
  </c:chart>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42"/>
    </mc:Choice>
    <mc:Fallback>
      <c:style val="42"/>
    </mc:Fallback>
  </mc:AlternateContent>
  <c:chart>
    <c:title>
      <c:tx>
        <c:rich>
          <a:bodyPr/>
          <a:lstStyle/>
          <a:p>
            <a:pPr>
              <a:defRPr/>
            </a:pPr>
            <a:r>
              <a:rPr lang="en-US"/>
              <a:t>Combustivel fossil 31 - Chaminé</a:t>
            </a:r>
          </a:p>
        </c:rich>
      </c:tx>
      <c:layout/>
      <c:overlay val="0"/>
    </c:title>
    <c:autoTitleDeleted val="0"/>
    <c:plotArea>
      <c:layout>
        <c:manualLayout>
          <c:layoutTarget val="inner"/>
          <c:xMode val="edge"/>
          <c:yMode val="edge"/>
          <c:x val="2.4691358024691357E-2"/>
          <c:y val="0.32444484748597435"/>
          <c:w val="0.95286195286195285"/>
          <c:h val="0.55961308824621336"/>
        </c:manualLayout>
      </c:layout>
      <c:barChart>
        <c:barDir val="bar"/>
        <c:grouping val="stacked"/>
        <c:varyColors val="0"/>
        <c:ser>
          <c:idx val="0"/>
          <c:order val="0"/>
          <c:invertIfNegative val="0"/>
          <c:dLbls>
            <c:showLegendKey val="0"/>
            <c:showVal val="1"/>
            <c:showCatName val="0"/>
            <c:showSerName val="0"/>
            <c:showPercent val="0"/>
            <c:showBubbleSize val="0"/>
            <c:showLeaderLines val="0"/>
          </c:dLbls>
          <c:val>
            <c:numRef>
              <c:f>'2014 - Ciclo de Operação'!$B$7</c:f>
              <c:numCache>
                <c:formatCode>0</c:formatCode>
                <c:ptCount val="1"/>
                <c:pt idx="0">
                  <c:v>2616</c:v>
                </c:pt>
              </c:numCache>
            </c:numRef>
          </c:val>
        </c:ser>
        <c:ser>
          <c:idx val="1"/>
          <c:order val="1"/>
          <c:invertIfNegative val="0"/>
          <c:dLbls>
            <c:dLbl>
              <c:idx val="0"/>
              <c:layout>
                <c:manualLayout>
                  <c:x val="0"/>
                  <c:y val="-0.15458951310998192"/>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'2014 - Ciclo de Operação'!$I$7</c:f>
              <c:numCache>
                <c:formatCode>General</c:formatCode>
                <c:ptCount val="1"/>
                <c:pt idx="0">
                  <c:v>48</c:v>
                </c:pt>
              </c:numCache>
            </c:numRef>
          </c:val>
        </c:ser>
        <c:ser>
          <c:idx val="2"/>
          <c:order val="2"/>
          <c:invertIfNegative val="0"/>
          <c:dLbls>
            <c:showLegendKey val="0"/>
            <c:showVal val="1"/>
            <c:showCatName val="0"/>
            <c:showSerName val="0"/>
            <c:showPercent val="0"/>
            <c:showBubbleSize val="0"/>
            <c:showLeaderLines val="0"/>
          </c:dLbls>
          <c:val>
            <c:numRef>
              <c:f>'2014 - Ciclo de Operação'!$B$8</c:f>
              <c:numCache>
                <c:formatCode>0</c:formatCode>
                <c:ptCount val="1"/>
                <c:pt idx="0">
                  <c:v>5400</c:v>
                </c:pt>
              </c:numCache>
            </c:numRef>
          </c:val>
        </c:ser>
        <c:ser>
          <c:idx val="3"/>
          <c:order val="3"/>
          <c:invertIfNegative val="0"/>
          <c:dLbls>
            <c:dLbl>
              <c:idx val="0"/>
              <c:layout>
                <c:manualLayout>
                  <c:x val="0"/>
                  <c:y val="-0.16231898876548101"/>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'2014 - Ciclo de Operação'!$I$8</c:f>
              <c:numCache>
                <c:formatCode>General</c:formatCode>
                <c:ptCount val="1"/>
                <c:pt idx="0">
                  <c:v>2</c:v>
                </c:pt>
              </c:numCache>
            </c:numRef>
          </c:val>
        </c:ser>
        <c:ser>
          <c:idx val="4"/>
          <c:order val="4"/>
          <c:invertIfNegative val="0"/>
          <c:dLbls>
            <c:showLegendKey val="0"/>
            <c:showVal val="1"/>
            <c:showCatName val="0"/>
            <c:showSerName val="0"/>
            <c:showPercent val="0"/>
            <c:showBubbleSize val="0"/>
            <c:showLeaderLines val="0"/>
          </c:dLbls>
          <c:val>
            <c:numRef>
              <c:f>'2014 - Ciclo de Operação'!$B$9</c:f>
              <c:numCache>
                <c:formatCode>0</c:formatCode>
                <c:ptCount val="1"/>
                <c:pt idx="0">
                  <c:v>624</c:v>
                </c:pt>
              </c:numCache>
            </c:numRef>
          </c:val>
        </c:ser>
        <c:dLbls>
          <c:showLegendKey val="0"/>
          <c:showVal val="0"/>
          <c:showCatName val="0"/>
          <c:showSerName val="0"/>
          <c:showPercent val="0"/>
          <c:showBubbleSize val="0"/>
        </c:dLbls>
        <c:gapWidth val="150"/>
        <c:overlap val="100"/>
        <c:axId val="109637632"/>
        <c:axId val="109639168"/>
      </c:barChart>
      <c:catAx>
        <c:axId val="109637632"/>
        <c:scaling>
          <c:orientation val="minMax"/>
        </c:scaling>
        <c:delete val="1"/>
        <c:axPos val="l"/>
        <c:majorTickMark val="out"/>
        <c:minorTickMark val="none"/>
        <c:tickLblPos val="nextTo"/>
        <c:crossAx val="109639168"/>
        <c:crosses val="autoZero"/>
        <c:auto val="1"/>
        <c:lblAlgn val="ctr"/>
        <c:lblOffset val="100"/>
        <c:noMultiLvlLbl val="0"/>
      </c:catAx>
      <c:valAx>
        <c:axId val="109639168"/>
        <c:scaling>
          <c:orientation val="minMax"/>
        </c:scaling>
        <c:delete val="1"/>
        <c:axPos val="b"/>
        <c:numFmt formatCode="0" sourceLinked="1"/>
        <c:majorTickMark val="out"/>
        <c:minorTickMark val="none"/>
        <c:tickLblPos val="nextTo"/>
        <c:crossAx val="109637632"/>
        <c:crosses val="autoZero"/>
        <c:crossBetween val="between"/>
      </c:valAx>
      <c:spPr>
        <a:noFill/>
        <a:ln w="25400">
          <a:noFill/>
        </a:ln>
      </c:spPr>
    </c:plotArea>
    <c:plotVisOnly val="1"/>
    <c:dispBlanksAs val="gap"/>
    <c:showDLblsOverMax val="0"/>
  </c:chart>
  <c:printSettings>
    <c:headerFooter/>
    <c:pageMargins b="0.75" l="0.7" r="0.7" t="0.75" header="0.3" footer="0.3"/>
    <c:pageSetup/>
  </c:printSettings>
  <c:userShapes r:id="rId1"/>
</c:chartSpace>
</file>

<file path=xl/charts/chart24.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42"/>
    </mc:Choice>
    <mc:Fallback>
      <c:style val="42"/>
    </mc:Fallback>
  </mc:AlternateContent>
  <c:chart>
    <c:title>
      <c:tx>
        <c:rich>
          <a:bodyPr/>
          <a:lstStyle/>
          <a:p>
            <a:pPr>
              <a:defRPr/>
            </a:pPr>
            <a:r>
              <a:rPr lang="en-US"/>
              <a:t>Incinerador 2 - Secador</a:t>
            </a:r>
          </a:p>
        </c:rich>
      </c:tx>
      <c:layout/>
      <c:overlay val="0"/>
    </c:title>
    <c:autoTitleDeleted val="0"/>
    <c:plotArea>
      <c:layout>
        <c:manualLayout>
          <c:layoutTarget val="inner"/>
          <c:xMode val="edge"/>
          <c:yMode val="edge"/>
          <c:x val="2.4691358024691357E-2"/>
          <c:y val="0.32444484748597435"/>
          <c:w val="0.89632490285004129"/>
          <c:h val="0.55961308824621336"/>
        </c:manualLayout>
      </c:layout>
      <c:barChart>
        <c:barDir val="bar"/>
        <c:grouping val="stacked"/>
        <c:varyColors val="0"/>
        <c:ser>
          <c:idx val="0"/>
          <c:order val="0"/>
          <c:invertIfNegative val="0"/>
          <c:dLbls>
            <c:showLegendKey val="0"/>
            <c:showVal val="1"/>
            <c:showCatName val="0"/>
            <c:showSerName val="0"/>
            <c:showPercent val="0"/>
            <c:showBubbleSize val="0"/>
            <c:showLeaderLines val="0"/>
          </c:dLbls>
          <c:val>
            <c:numRef>
              <c:f>'2014 - Ciclo de Operação'!$B$10</c:f>
              <c:numCache>
                <c:formatCode>0</c:formatCode>
                <c:ptCount val="1"/>
                <c:pt idx="0">
                  <c:v>2208</c:v>
                </c:pt>
              </c:numCache>
            </c:numRef>
          </c:val>
        </c:ser>
        <c:ser>
          <c:idx val="1"/>
          <c:order val="1"/>
          <c:invertIfNegative val="0"/>
          <c:dLbls>
            <c:dLbl>
              <c:idx val="0"/>
              <c:layout>
                <c:manualLayout>
                  <c:x val="0"/>
                  <c:y val="-0.16029146963297039"/>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'2014 - Ciclo de Operação'!$I$10</c:f>
              <c:numCache>
                <c:formatCode>General</c:formatCode>
                <c:ptCount val="1"/>
                <c:pt idx="0">
                  <c:v>168</c:v>
                </c:pt>
              </c:numCache>
            </c:numRef>
          </c:val>
        </c:ser>
        <c:ser>
          <c:idx val="2"/>
          <c:order val="2"/>
          <c:invertIfNegative val="0"/>
          <c:dLbls>
            <c:showLegendKey val="0"/>
            <c:showVal val="1"/>
            <c:showCatName val="0"/>
            <c:showSerName val="0"/>
            <c:showPercent val="0"/>
            <c:showBubbleSize val="0"/>
            <c:showLeaderLines val="0"/>
          </c:dLbls>
          <c:val>
            <c:numRef>
              <c:f>'2014 - Ciclo de Operação'!$B$11</c:f>
              <c:numCache>
                <c:formatCode>0</c:formatCode>
                <c:ptCount val="1"/>
                <c:pt idx="0">
                  <c:v>6432</c:v>
                </c:pt>
              </c:numCache>
            </c:numRef>
          </c:val>
        </c:ser>
        <c:dLbls>
          <c:showLegendKey val="0"/>
          <c:showVal val="0"/>
          <c:showCatName val="0"/>
          <c:showSerName val="0"/>
          <c:showPercent val="0"/>
          <c:showBubbleSize val="0"/>
        </c:dLbls>
        <c:gapWidth val="150"/>
        <c:overlap val="100"/>
        <c:axId val="109691648"/>
        <c:axId val="109693184"/>
      </c:barChart>
      <c:catAx>
        <c:axId val="109691648"/>
        <c:scaling>
          <c:orientation val="minMax"/>
        </c:scaling>
        <c:delete val="1"/>
        <c:axPos val="l"/>
        <c:majorTickMark val="out"/>
        <c:minorTickMark val="none"/>
        <c:tickLblPos val="nextTo"/>
        <c:crossAx val="109693184"/>
        <c:crosses val="autoZero"/>
        <c:auto val="1"/>
        <c:lblAlgn val="ctr"/>
        <c:lblOffset val="100"/>
        <c:noMultiLvlLbl val="0"/>
      </c:catAx>
      <c:valAx>
        <c:axId val="109693184"/>
        <c:scaling>
          <c:orientation val="minMax"/>
        </c:scaling>
        <c:delete val="1"/>
        <c:axPos val="b"/>
        <c:numFmt formatCode="0" sourceLinked="1"/>
        <c:majorTickMark val="out"/>
        <c:minorTickMark val="none"/>
        <c:tickLblPos val="nextTo"/>
        <c:crossAx val="109691648"/>
        <c:crosses val="autoZero"/>
        <c:crossBetween val="between"/>
      </c:valAx>
      <c:spPr>
        <a:noFill/>
        <a:ln w="25400">
          <a:noFill/>
        </a:ln>
      </c:spPr>
    </c:plotArea>
    <c:plotVisOnly val="1"/>
    <c:dispBlanksAs val="gap"/>
    <c:showDLblsOverMax val="0"/>
  </c:chart>
  <c:printSettings>
    <c:headerFooter/>
    <c:pageMargins b="0.75" l="0.7" r="0.7" t="0.75" header="0.3" footer="0.3"/>
    <c:pageSetup/>
  </c:printSettings>
  <c:userShapes r:id="rId1"/>
</c:chartSpace>
</file>

<file path=xl/charts/chart25.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42"/>
    </mc:Choice>
    <mc:Fallback>
      <c:style val="42"/>
    </mc:Fallback>
  </mc:AlternateContent>
  <c:chart>
    <c:title>
      <c:tx>
        <c:rich>
          <a:bodyPr/>
          <a:lstStyle/>
          <a:p>
            <a:pPr>
              <a:defRPr/>
            </a:pPr>
            <a:r>
              <a:rPr lang="en-US"/>
              <a:t>incinerador 2 - Alimentação</a:t>
            </a:r>
          </a:p>
        </c:rich>
      </c:tx>
      <c:layout/>
      <c:overlay val="0"/>
    </c:title>
    <c:autoTitleDeleted val="0"/>
    <c:plotArea>
      <c:layout>
        <c:manualLayout>
          <c:layoutTarget val="inner"/>
          <c:xMode val="edge"/>
          <c:yMode val="edge"/>
          <c:x val="2.4691358024691357E-2"/>
          <c:y val="0.32444484748597435"/>
          <c:w val="0.95379978961669964"/>
          <c:h val="0.55961308824621336"/>
        </c:manualLayout>
      </c:layout>
      <c:barChart>
        <c:barDir val="bar"/>
        <c:grouping val="stacked"/>
        <c:varyColors val="0"/>
        <c:ser>
          <c:idx val="0"/>
          <c:order val="0"/>
          <c:invertIfNegative val="0"/>
          <c:dLbls>
            <c:showLegendKey val="0"/>
            <c:showVal val="1"/>
            <c:showCatName val="0"/>
            <c:showSerName val="0"/>
            <c:showPercent val="0"/>
            <c:showBubbleSize val="0"/>
            <c:showLeaderLines val="0"/>
          </c:dLbls>
          <c:val>
            <c:numRef>
              <c:f>'2014 - Ciclo de Operação'!$B$12</c:f>
              <c:numCache>
                <c:formatCode>0</c:formatCode>
                <c:ptCount val="1"/>
                <c:pt idx="0">
                  <c:v>480</c:v>
                </c:pt>
              </c:numCache>
            </c:numRef>
          </c:val>
        </c:ser>
        <c:ser>
          <c:idx val="1"/>
          <c:order val="1"/>
          <c:invertIfNegative val="0"/>
          <c:dLbls>
            <c:dLbl>
              <c:idx val="0"/>
              <c:layout>
                <c:manualLayout>
                  <c:x val="0"/>
                  <c:y val="-0.16029146963297039"/>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'2014 - Ciclo de Operação'!$I$12</c:f>
              <c:numCache>
                <c:formatCode>General</c:formatCode>
                <c:ptCount val="1"/>
                <c:pt idx="0">
                  <c:v>8</c:v>
                </c:pt>
              </c:numCache>
            </c:numRef>
          </c:val>
        </c:ser>
        <c:ser>
          <c:idx val="2"/>
          <c:order val="2"/>
          <c:invertIfNegative val="0"/>
          <c:dLbls>
            <c:showLegendKey val="0"/>
            <c:showVal val="1"/>
            <c:showCatName val="0"/>
            <c:showSerName val="0"/>
            <c:showPercent val="0"/>
            <c:showBubbleSize val="0"/>
            <c:showLeaderLines val="0"/>
          </c:dLbls>
          <c:val>
            <c:numRef>
              <c:f>'2014 - Ciclo de Operação'!$B$13</c:f>
              <c:numCache>
                <c:formatCode>0</c:formatCode>
                <c:ptCount val="1"/>
                <c:pt idx="0">
                  <c:v>2856</c:v>
                </c:pt>
              </c:numCache>
            </c:numRef>
          </c:val>
        </c:ser>
        <c:ser>
          <c:idx val="3"/>
          <c:order val="3"/>
          <c:invertIfNegative val="0"/>
          <c:dLbls>
            <c:dLbl>
              <c:idx val="0"/>
              <c:layout>
                <c:manualLayout>
                  <c:x val="0"/>
                  <c:y val="-0.16368774307468736"/>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'2014 - Ciclo de Operação'!$I$13</c:f>
              <c:numCache>
                <c:formatCode>General</c:formatCode>
                <c:ptCount val="1"/>
                <c:pt idx="0">
                  <c:v>3</c:v>
                </c:pt>
              </c:numCache>
            </c:numRef>
          </c:val>
        </c:ser>
        <c:ser>
          <c:idx val="4"/>
          <c:order val="4"/>
          <c:invertIfNegative val="0"/>
          <c:dLbls>
            <c:showLegendKey val="0"/>
            <c:showVal val="1"/>
            <c:showCatName val="0"/>
            <c:showSerName val="0"/>
            <c:showPercent val="0"/>
            <c:showBubbleSize val="0"/>
            <c:showLeaderLines val="0"/>
          </c:dLbls>
          <c:val>
            <c:numRef>
              <c:f>'2014 - Ciclo de Operação'!$B$14</c:f>
              <c:numCache>
                <c:formatCode>0</c:formatCode>
                <c:ptCount val="1"/>
                <c:pt idx="0">
                  <c:v>5304</c:v>
                </c:pt>
              </c:numCache>
            </c:numRef>
          </c:val>
        </c:ser>
        <c:dLbls>
          <c:showLegendKey val="0"/>
          <c:showVal val="0"/>
          <c:showCatName val="0"/>
          <c:showSerName val="0"/>
          <c:showPercent val="0"/>
          <c:showBubbleSize val="0"/>
        </c:dLbls>
        <c:gapWidth val="150"/>
        <c:overlap val="100"/>
        <c:axId val="110419968"/>
        <c:axId val="110421504"/>
      </c:barChart>
      <c:catAx>
        <c:axId val="110419968"/>
        <c:scaling>
          <c:orientation val="minMax"/>
        </c:scaling>
        <c:delete val="1"/>
        <c:axPos val="l"/>
        <c:majorTickMark val="out"/>
        <c:minorTickMark val="none"/>
        <c:tickLblPos val="nextTo"/>
        <c:crossAx val="110421504"/>
        <c:crosses val="autoZero"/>
        <c:auto val="1"/>
        <c:lblAlgn val="ctr"/>
        <c:lblOffset val="100"/>
        <c:noMultiLvlLbl val="0"/>
      </c:catAx>
      <c:valAx>
        <c:axId val="110421504"/>
        <c:scaling>
          <c:orientation val="minMax"/>
        </c:scaling>
        <c:delete val="1"/>
        <c:axPos val="b"/>
        <c:numFmt formatCode="0" sourceLinked="1"/>
        <c:majorTickMark val="out"/>
        <c:minorTickMark val="none"/>
        <c:tickLblPos val="nextTo"/>
        <c:crossAx val="110419968"/>
        <c:crosses val="autoZero"/>
        <c:crossBetween val="between"/>
      </c:valAx>
      <c:spPr>
        <a:noFill/>
        <a:ln w="25400">
          <a:noFill/>
        </a:ln>
      </c:spPr>
    </c:plotArea>
    <c:plotVisOnly val="1"/>
    <c:dispBlanksAs val="gap"/>
    <c:showDLblsOverMax val="0"/>
  </c:chart>
  <c:printSettings>
    <c:headerFooter/>
    <c:pageMargins b="0.75" l="0.7" r="0.7" t="0.75" header="0.3" footer="0.3"/>
    <c:pageSetup/>
  </c:printSettings>
  <c:userShapes r:id="rId1"/>
</c:chartSpace>
</file>

<file path=xl/charts/chart26.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42"/>
    </mc:Choice>
    <mc:Fallback>
      <c:style val="42"/>
    </mc:Fallback>
  </mc:AlternateContent>
  <c:chart>
    <c:title>
      <c:tx>
        <c:rich>
          <a:bodyPr/>
          <a:lstStyle/>
          <a:p>
            <a:pPr>
              <a:defRPr/>
            </a:pPr>
            <a:r>
              <a:rPr lang="en-US"/>
              <a:t>Incinerador 2 - Chaminé</a:t>
            </a:r>
          </a:p>
        </c:rich>
      </c:tx>
      <c:layout/>
      <c:overlay val="0"/>
    </c:title>
    <c:autoTitleDeleted val="0"/>
    <c:plotArea>
      <c:layout>
        <c:manualLayout>
          <c:layoutTarget val="inner"/>
          <c:xMode val="edge"/>
          <c:yMode val="edge"/>
          <c:x val="2.4691358024691357E-2"/>
          <c:y val="0.32444484748597435"/>
          <c:w val="0.95379978961669964"/>
          <c:h val="0.55961308824621336"/>
        </c:manualLayout>
      </c:layout>
      <c:barChart>
        <c:barDir val="bar"/>
        <c:grouping val="stacked"/>
        <c:varyColors val="0"/>
        <c:ser>
          <c:idx val="0"/>
          <c:order val="0"/>
          <c:invertIfNegative val="0"/>
          <c:dLbls>
            <c:showLegendKey val="0"/>
            <c:showVal val="1"/>
            <c:showCatName val="0"/>
            <c:showSerName val="0"/>
            <c:showPercent val="0"/>
            <c:showBubbleSize val="0"/>
            <c:showLeaderLines val="0"/>
          </c:dLbls>
          <c:val>
            <c:numRef>
              <c:f>'2014 - Ciclo de Operação'!$B$15</c:f>
              <c:numCache>
                <c:formatCode>0</c:formatCode>
                <c:ptCount val="1"/>
                <c:pt idx="0">
                  <c:v>2328</c:v>
                </c:pt>
              </c:numCache>
            </c:numRef>
          </c:val>
        </c:ser>
        <c:ser>
          <c:idx val="1"/>
          <c:order val="1"/>
          <c:invertIfNegative val="0"/>
          <c:dLbls>
            <c:dLbl>
              <c:idx val="0"/>
              <c:layout>
                <c:manualLayout>
                  <c:x val="0"/>
                  <c:y val="-0.16029146963297039"/>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'2014 - Ciclo de Operação'!$I$15</c:f>
              <c:numCache>
                <c:formatCode>General</c:formatCode>
                <c:ptCount val="1"/>
                <c:pt idx="0">
                  <c:v>12</c:v>
                </c:pt>
              </c:numCache>
            </c:numRef>
          </c:val>
        </c:ser>
        <c:ser>
          <c:idx val="2"/>
          <c:order val="2"/>
          <c:invertIfNegative val="0"/>
          <c:dLbls>
            <c:showLegendKey val="0"/>
            <c:showVal val="1"/>
            <c:showCatName val="0"/>
            <c:showSerName val="0"/>
            <c:showPercent val="0"/>
            <c:showBubbleSize val="0"/>
            <c:showLeaderLines val="0"/>
          </c:dLbls>
          <c:val>
            <c:numRef>
              <c:f>'2014 - Ciclo de Operação'!$B$16</c:f>
              <c:numCache>
                <c:formatCode>0</c:formatCode>
                <c:ptCount val="1"/>
                <c:pt idx="0">
                  <c:v>3816</c:v>
                </c:pt>
              </c:numCache>
            </c:numRef>
          </c:val>
        </c:ser>
        <c:ser>
          <c:idx val="3"/>
          <c:order val="3"/>
          <c:invertIfNegative val="0"/>
          <c:dLbls>
            <c:dLbl>
              <c:idx val="0"/>
              <c:layout>
                <c:manualLayout>
                  <c:x val="0"/>
                  <c:y val="-0.16410251109145621"/>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'2014 - Ciclo de Operação'!$I$16</c:f>
              <c:numCache>
                <c:formatCode>General</c:formatCode>
                <c:ptCount val="1"/>
                <c:pt idx="0">
                  <c:v>2</c:v>
                </c:pt>
              </c:numCache>
            </c:numRef>
          </c:val>
        </c:ser>
        <c:ser>
          <c:idx val="4"/>
          <c:order val="4"/>
          <c:invertIfNegative val="0"/>
          <c:dLbls>
            <c:showLegendKey val="0"/>
            <c:showVal val="1"/>
            <c:showCatName val="0"/>
            <c:showSerName val="0"/>
            <c:showPercent val="0"/>
            <c:showBubbleSize val="0"/>
            <c:showLeaderLines val="0"/>
          </c:dLbls>
          <c:val>
            <c:numRef>
              <c:f>'2014 - Ciclo de Operação'!$B$17</c:f>
              <c:numCache>
                <c:formatCode>0</c:formatCode>
                <c:ptCount val="1"/>
                <c:pt idx="0">
                  <c:v>2496</c:v>
                </c:pt>
              </c:numCache>
            </c:numRef>
          </c:val>
        </c:ser>
        <c:dLbls>
          <c:showLegendKey val="0"/>
          <c:showVal val="0"/>
          <c:showCatName val="0"/>
          <c:showSerName val="0"/>
          <c:showPercent val="0"/>
          <c:showBubbleSize val="0"/>
        </c:dLbls>
        <c:gapWidth val="150"/>
        <c:overlap val="100"/>
        <c:axId val="110468096"/>
        <c:axId val="110482176"/>
      </c:barChart>
      <c:catAx>
        <c:axId val="110468096"/>
        <c:scaling>
          <c:orientation val="minMax"/>
        </c:scaling>
        <c:delete val="1"/>
        <c:axPos val="l"/>
        <c:majorTickMark val="out"/>
        <c:minorTickMark val="none"/>
        <c:tickLblPos val="nextTo"/>
        <c:crossAx val="110482176"/>
        <c:crosses val="autoZero"/>
        <c:auto val="1"/>
        <c:lblAlgn val="ctr"/>
        <c:lblOffset val="100"/>
        <c:noMultiLvlLbl val="0"/>
      </c:catAx>
      <c:valAx>
        <c:axId val="110482176"/>
        <c:scaling>
          <c:orientation val="minMax"/>
        </c:scaling>
        <c:delete val="1"/>
        <c:axPos val="b"/>
        <c:numFmt formatCode="0" sourceLinked="1"/>
        <c:majorTickMark val="out"/>
        <c:minorTickMark val="none"/>
        <c:tickLblPos val="nextTo"/>
        <c:crossAx val="110468096"/>
        <c:crosses val="autoZero"/>
        <c:crossBetween val="between"/>
      </c:valAx>
      <c:spPr>
        <a:noFill/>
        <a:ln w="25400">
          <a:noFill/>
        </a:ln>
      </c:spPr>
    </c:plotArea>
    <c:plotVisOnly val="1"/>
    <c:dispBlanksAs val="gap"/>
    <c:showDLblsOverMax val="0"/>
  </c:chart>
  <c:printSettings>
    <c:headerFooter/>
    <c:pageMargins b="0.75" l="0.7" r="0.7" t="0.75" header="0.3" footer="0.3"/>
    <c:pageSetup/>
  </c:printSettings>
  <c:userShapes r:id="rId1"/>
</c:chartSpace>
</file>

<file path=xl/charts/chart27.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42"/>
    </mc:Choice>
    <mc:Fallback>
      <c:style val="42"/>
    </mc:Fallback>
  </mc:AlternateContent>
  <c:chart>
    <c:title>
      <c:tx>
        <c:rich>
          <a:bodyPr/>
          <a:lstStyle/>
          <a:p>
            <a:pPr>
              <a:defRPr/>
            </a:pPr>
            <a:r>
              <a:rPr lang="en-US"/>
              <a:t>incinerador 3 - Alimentação</a:t>
            </a:r>
          </a:p>
        </c:rich>
      </c:tx>
      <c:layout/>
      <c:overlay val="0"/>
    </c:title>
    <c:autoTitleDeleted val="0"/>
    <c:plotArea>
      <c:layout>
        <c:manualLayout>
          <c:layoutTarget val="inner"/>
          <c:xMode val="edge"/>
          <c:yMode val="edge"/>
          <c:x val="2.4691358024691357E-2"/>
          <c:y val="0.32444484748597435"/>
          <c:w val="0.89632490285004129"/>
          <c:h val="0.55961308824621336"/>
        </c:manualLayout>
      </c:layout>
      <c:barChart>
        <c:barDir val="bar"/>
        <c:grouping val="stacked"/>
        <c:varyColors val="0"/>
        <c:ser>
          <c:idx val="0"/>
          <c:order val="0"/>
          <c:invertIfNegative val="0"/>
          <c:dLbls>
            <c:dLbl>
              <c:idx val="0"/>
              <c:layout>
                <c:manualLayout>
                  <c:x val="0"/>
                  <c:y val="-4.9106322922406208E-2"/>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'2014 - Ciclo de Operação'!$B$18</c:f>
              <c:numCache>
                <c:formatCode>0</c:formatCode>
                <c:ptCount val="1"/>
                <c:pt idx="0">
                  <c:v>1008</c:v>
                </c:pt>
              </c:numCache>
            </c:numRef>
          </c:val>
        </c:ser>
        <c:ser>
          <c:idx val="1"/>
          <c:order val="1"/>
          <c:invertIfNegative val="0"/>
          <c:dLbls>
            <c:dLbl>
              <c:idx val="0"/>
              <c:layout>
                <c:manualLayout>
                  <c:x val="-7.2074439417356122E-3"/>
                  <c:y val="-0.22916284030456233"/>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'2014 - Ciclo de Operação'!$I$18</c:f>
              <c:numCache>
                <c:formatCode>General</c:formatCode>
                <c:ptCount val="1"/>
                <c:pt idx="0">
                  <c:v>3</c:v>
                </c:pt>
              </c:numCache>
            </c:numRef>
          </c:val>
        </c:ser>
        <c:ser>
          <c:idx val="2"/>
          <c:order val="2"/>
          <c:invertIfNegative val="0"/>
          <c:dLbls>
            <c:dLbl>
              <c:idx val="0"/>
              <c:layout>
                <c:manualLayout>
                  <c:x val="0"/>
                  <c:y val="3.2737548614937474E-2"/>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'2014 - Ciclo de Operação'!$B$19</c:f>
              <c:numCache>
                <c:formatCode>0</c:formatCode>
                <c:ptCount val="1"/>
                <c:pt idx="0">
                  <c:v>24</c:v>
                </c:pt>
              </c:numCache>
            </c:numRef>
          </c:val>
        </c:ser>
        <c:ser>
          <c:idx val="3"/>
          <c:order val="3"/>
          <c:invertIfNegative val="0"/>
          <c:dLbls>
            <c:dLbl>
              <c:idx val="0"/>
              <c:layout>
                <c:manualLayout>
                  <c:x val="4.7948946076501976E-3"/>
                  <c:y val="-0.18005651738215611"/>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'2014 - Ciclo de Operação'!$I$19</c:f>
              <c:numCache>
                <c:formatCode>General</c:formatCode>
                <c:ptCount val="1"/>
                <c:pt idx="0">
                  <c:v>1</c:v>
                </c:pt>
              </c:numCache>
            </c:numRef>
          </c:val>
        </c:ser>
        <c:ser>
          <c:idx val="4"/>
          <c:order val="4"/>
          <c:invertIfNegative val="0"/>
          <c:dLbls>
            <c:dLbl>
              <c:idx val="0"/>
              <c:layout>
                <c:manualLayout>
                  <c:x val="0"/>
                  <c:y val="-2.4553161461203104E-2"/>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'2014 - Ciclo de Operação'!$B$20</c:f>
              <c:numCache>
                <c:formatCode>0</c:formatCode>
                <c:ptCount val="1"/>
                <c:pt idx="0">
                  <c:v>744</c:v>
                </c:pt>
              </c:numCache>
            </c:numRef>
          </c:val>
        </c:ser>
        <c:ser>
          <c:idx val="5"/>
          <c:order val="5"/>
          <c:invertIfNegative val="0"/>
          <c:dLbls>
            <c:dLbl>
              <c:idx val="0"/>
              <c:layout>
                <c:manualLayout>
                  <c:x val="2.3813273931402989E-3"/>
                  <c:y val="-0.17187213022842174"/>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'2014 - Ciclo de Operação'!$I$20</c:f>
              <c:numCache>
                <c:formatCode>General</c:formatCode>
                <c:ptCount val="1"/>
                <c:pt idx="0">
                  <c:v>0.5</c:v>
                </c:pt>
              </c:numCache>
            </c:numRef>
          </c:val>
        </c:ser>
        <c:ser>
          <c:idx val="6"/>
          <c:order val="6"/>
          <c:invertIfNegative val="0"/>
          <c:dLbls>
            <c:showLegendKey val="0"/>
            <c:showVal val="1"/>
            <c:showCatName val="0"/>
            <c:showSerName val="0"/>
            <c:showPercent val="0"/>
            <c:showBubbleSize val="0"/>
            <c:showLeaderLines val="0"/>
          </c:dLbls>
          <c:val>
            <c:numRef>
              <c:f>'2014 - Ciclo de Operação'!$B$21</c:f>
              <c:numCache>
                <c:formatCode>0</c:formatCode>
                <c:ptCount val="1"/>
                <c:pt idx="0">
                  <c:v>1560</c:v>
                </c:pt>
              </c:numCache>
            </c:numRef>
          </c:val>
        </c:ser>
        <c:ser>
          <c:idx val="7"/>
          <c:order val="7"/>
          <c:invertIfNegative val="0"/>
          <c:dLbls>
            <c:dLbl>
              <c:idx val="0"/>
              <c:layout>
                <c:manualLayout>
                  <c:x val="-1.4426227667501923E-2"/>
                  <c:y val="-0.26190038891949979"/>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'2014 - Ciclo de Operação'!$I$21</c:f>
              <c:numCache>
                <c:formatCode>General</c:formatCode>
                <c:ptCount val="1"/>
                <c:pt idx="0">
                  <c:v>8</c:v>
                </c:pt>
              </c:numCache>
            </c:numRef>
          </c:val>
        </c:ser>
        <c:ser>
          <c:idx val="8"/>
          <c:order val="8"/>
          <c:invertIfNegative val="0"/>
          <c:dLbls>
            <c:showLegendKey val="0"/>
            <c:showVal val="1"/>
            <c:showCatName val="0"/>
            <c:showSerName val="0"/>
            <c:showPercent val="0"/>
            <c:showBubbleSize val="0"/>
            <c:showLeaderLines val="0"/>
          </c:dLbls>
          <c:val>
            <c:numRef>
              <c:f>'2014 - Ciclo de Operação'!$B$22</c:f>
              <c:numCache>
                <c:formatCode>0</c:formatCode>
                <c:ptCount val="1"/>
                <c:pt idx="0">
                  <c:v>72</c:v>
                </c:pt>
              </c:numCache>
            </c:numRef>
          </c:val>
        </c:ser>
        <c:ser>
          <c:idx val="9"/>
          <c:order val="9"/>
          <c:invertIfNegative val="0"/>
          <c:dLbls>
            <c:dLbl>
              <c:idx val="0"/>
              <c:layout>
                <c:manualLayout>
                  <c:x val="-3.8795434598319135E-3"/>
                  <c:y val="-0.18005651738215611"/>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'2014 - Ciclo de Operação'!$I$22</c:f>
              <c:numCache>
                <c:formatCode>General</c:formatCode>
                <c:ptCount val="1"/>
                <c:pt idx="0">
                  <c:v>0.5</c:v>
                </c:pt>
              </c:numCache>
            </c:numRef>
          </c:val>
        </c:ser>
        <c:ser>
          <c:idx val="10"/>
          <c:order val="10"/>
          <c:invertIfNegative val="0"/>
          <c:dLbls>
            <c:showLegendKey val="0"/>
            <c:showVal val="1"/>
            <c:showCatName val="0"/>
            <c:showSerName val="0"/>
            <c:showPercent val="0"/>
            <c:showBubbleSize val="0"/>
            <c:showLeaderLines val="0"/>
          </c:dLbls>
          <c:val>
            <c:numRef>
              <c:f>'2014 - Ciclo de Operação'!$B$23</c:f>
              <c:numCache>
                <c:formatCode>0</c:formatCode>
                <c:ptCount val="1"/>
                <c:pt idx="0">
                  <c:v>3552</c:v>
                </c:pt>
              </c:numCache>
            </c:numRef>
          </c:val>
        </c:ser>
        <c:ser>
          <c:idx val="11"/>
          <c:order val="11"/>
          <c:invertIfNegative val="0"/>
          <c:dLbls>
            <c:dLbl>
              <c:idx val="0"/>
              <c:layout>
                <c:manualLayout>
                  <c:x val="0"/>
                  <c:y val="-0.15550335592095299"/>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'2014 - Ciclo de Operação'!$I$23</c:f>
              <c:numCache>
                <c:formatCode>General</c:formatCode>
                <c:ptCount val="1"/>
                <c:pt idx="0">
                  <c:v>10</c:v>
                </c:pt>
              </c:numCache>
            </c:numRef>
          </c:val>
        </c:ser>
        <c:ser>
          <c:idx val="12"/>
          <c:order val="12"/>
          <c:invertIfNegative val="0"/>
          <c:dLbls>
            <c:showLegendKey val="0"/>
            <c:showVal val="1"/>
            <c:showCatName val="0"/>
            <c:showSerName val="0"/>
            <c:showPercent val="0"/>
            <c:showBubbleSize val="0"/>
            <c:showLeaderLines val="0"/>
          </c:dLbls>
          <c:val>
            <c:numRef>
              <c:f>'2014 - Ciclo de Operação'!$B$24</c:f>
              <c:numCache>
                <c:formatCode>0</c:formatCode>
                <c:ptCount val="1"/>
                <c:pt idx="0">
                  <c:v>1680</c:v>
                </c:pt>
              </c:numCache>
            </c:numRef>
          </c:val>
        </c:ser>
        <c:dLbls>
          <c:showLegendKey val="0"/>
          <c:showVal val="0"/>
          <c:showCatName val="0"/>
          <c:showSerName val="0"/>
          <c:showPercent val="0"/>
          <c:showBubbleSize val="0"/>
        </c:dLbls>
        <c:gapWidth val="150"/>
        <c:overlap val="100"/>
        <c:axId val="110608384"/>
        <c:axId val="110609920"/>
      </c:barChart>
      <c:catAx>
        <c:axId val="110608384"/>
        <c:scaling>
          <c:orientation val="minMax"/>
        </c:scaling>
        <c:delete val="1"/>
        <c:axPos val="l"/>
        <c:majorTickMark val="out"/>
        <c:minorTickMark val="none"/>
        <c:tickLblPos val="nextTo"/>
        <c:crossAx val="110609920"/>
        <c:crosses val="autoZero"/>
        <c:auto val="1"/>
        <c:lblAlgn val="ctr"/>
        <c:lblOffset val="100"/>
        <c:noMultiLvlLbl val="0"/>
      </c:catAx>
      <c:valAx>
        <c:axId val="110609920"/>
        <c:scaling>
          <c:orientation val="minMax"/>
        </c:scaling>
        <c:delete val="1"/>
        <c:axPos val="b"/>
        <c:numFmt formatCode="0" sourceLinked="1"/>
        <c:majorTickMark val="out"/>
        <c:minorTickMark val="none"/>
        <c:tickLblPos val="nextTo"/>
        <c:crossAx val="110608384"/>
        <c:crosses val="autoZero"/>
        <c:crossBetween val="between"/>
      </c:valAx>
      <c:spPr>
        <a:noFill/>
        <a:ln w="25400">
          <a:noFill/>
        </a:ln>
      </c:spPr>
    </c:plotArea>
    <c:plotVisOnly val="1"/>
    <c:dispBlanksAs val="gap"/>
    <c:showDLblsOverMax val="0"/>
  </c:chart>
  <c:printSettings>
    <c:headerFooter/>
    <c:pageMargins b="0.75" l="0.7" r="0.7" t="0.75" header="0.3" footer="0.3"/>
    <c:pageSetup/>
  </c:printSettings>
  <c:userShapes r:id="rId1"/>
</c:chartSpace>
</file>

<file path=xl/charts/chart28.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42"/>
    </mc:Choice>
    <mc:Fallback>
      <c:style val="42"/>
    </mc:Fallback>
  </mc:AlternateContent>
  <c:chart>
    <c:title>
      <c:tx>
        <c:rich>
          <a:bodyPr/>
          <a:lstStyle/>
          <a:p>
            <a:pPr>
              <a:defRPr/>
            </a:pPr>
            <a:r>
              <a:rPr lang="en-US"/>
              <a:t>Incinerador 3 - Chaminé</a:t>
            </a:r>
          </a:p>
        </c:rich>
      </c:tx>
      <c:layout/>
      <c:overlay val="0"/>
    </c:title>
    <c:autoTitleDeleted val="0"/>
    <c:plotArea>
      <c:layout>
        <c:manualLayout>
          <c:layoutTarget val="inner"/>
          <c:xMode val="edge"/>
          <c:yMode val="edge"/>
          <c:x val="2.4691358024691357E-2"/>
          <c:y val="0.32444484748597435"/>
          <c:w val="0.89632490285004129"/>
          <c:h val="0.55961308824621336"/>
        </c:manualLayout>
      </c:layout>
      <c:barChart>
        <c:barDir val="bar"/>
        <c:grouping val="stacked"/>
        <c:varyColors val="0"/>
        <c:ser>
          <c:idx val="0"/>
          <c:order val="0"/>
          <c:invertIfNegative val="0"/>
          <c:dLbls>
            <c:showLegendKey val="0"/>
            <c:showVal val="1"/>
            <c:showCatName val="0"/>
            <c:showSerName val="0"/>
            <c:showPercent val="0"/>
            <c:showBubbleSize val="0"/>
            <c:showLeaderLines val="0"/>
          </c:dLbls>
          <c:val>
            <c:numRef>
              <c:f>'2014 - Ciclo de Operação'!$B$25</c:f>
              <c:numCache>
                <c:formatCode>0</c:formatCode>
                <c:ptCount val="1"/>
                <c:pt idx="0">
                  <c:v>3648</c:v>
                </c:pt>
              </c:numCache>
            </c:numRef>
          </c:val>
        </c:ser>
        <c:ser>
          <c:idx val="1"/>
          <c:order val="1"/>
          <c:invertIfNegative val="0"/>
          <c:dLbls>
            <c:dLbl>
              <c:idx val="0"/>
              <c:layout>
                <c:manualLayout>
                  <c:x val="-4.3657164542948199E-17"/>
                  <c:y val="-0.16368774307468736"/>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'2014 - Ciclo de Operação'!$I$25</c:f>
              <c:numCache>
                <c:formatCode>General</c:formatCode>
                <c:ptCount val="1"/>
                <c:pt idx="0">
                  <c:v>0.5</c:v>
                </c:pt>
              </c:numCache>
            </c:numRef>
          </c:val>
        </c:ser>
        <c:ser>
          <c:idx val="2"/>
          <c:order val="2"/>
          <c:invertIfNegative val="0"/>
          <c:dLbls>
            <c:showLegendKey val="0"/>
            <c:showVal val="1"/>
            <c:showCatName val="0"/>
            <c:showSerName val="0"/>
            <c:showPercent val="0"/>
            <c:showBubbleSize val="0"/>
            <c:showLeaderLines val="0"/>
          </c:dLbls>
          <c:val>
            <c:numRef>
              <c:f>'2014 - Ciclo de Operação'!$B$26</c:f>
              <c:numCache>
                <c:formatCode>0</c:formatCode>
                <c:ptCount val="1"/>
                <c:pt idx="0">
                  <c:v>4992</c:v>
                </c:pt>
              </c:numCache>
            </c:numRef>
          </c:val>
        </c:ser>
        <c:dLbls>
          <c:showLegendKey val="0"/>
          <c:showVal val="0"/>
          <c:showCatName val="0"/>
          <c:showSerName val="0"/>
          <c:showPercent val="0"/>
          <c:showBubbleSize val="0"/>
        </c:dLbls>
        <c:gapWidth val="150"/>
        <c:overlap val="100"/>
        <c:axId val="110195456"/>
        <c:axId val="110196992"/>
      </c:barChart>
      <c:catAx>
        <c:axId val="110195456"/>
        <c:scaling>
          <c:orientation val="minMax"/>
        </c:scaling>
        <c:delete val="1"/>
        <c:axPos val="l"/>
        <c:majorTickMark val="out"/>
        <c:minorTickMark val="none"/>
        <c:tickLblPos val="nextTo"/>
        <c:crossAx val="110196992"/>
        <c:crosses val="autoZero"/>
        <c:auto val="1"/>
        <c:lblAlgn val="ctr"/>
        <c:lblOffset val="100"/>
        <c:noMultiLvlLbl val="0"/>
      </c:catAx>
      <c:valAx>
        <c:axId val="110196992"/>
        <c:scaling>
          <c:orientation val="minMax"/>
        </c:scaling>
        <c:delete val="1"/>
        <c:axPos val="b"/>
        <c:numFmt formatCode="0" sourceLinked="1"/>
        <c:majorTickMark val="out"/>
        <c:minorTickMark val="none"/>
        <c:tickLblPos val="nextTo"/>
        <c:crossAx val="110195456"/>
        <c:crosses val="autoZero"/>
        <c:crossBetween val="between"/>
      </c:valAx>
      <c:spPr>
        <a:noFill/>
        <a:ln w="25400">
          <a:noFill/>
        </a:ln>
      </c:spPr>
    </c:plotArea>
    <c:plotVisOnly val="1"/>
    <c:dispBlanksAs val="gap"/>
    <c:showDLblsOverMax val="0"/>
  </c:chart>
  <c:printSettings>
    <c:headerFooter/>
    <c:pageMargins b="0.75" l="0.7" r="0.7" t="0.75" header="0.3" footer="0.3"/>
    <c:pageSetup/>
  </c:printSettings>
  <c:userShapes r:id="rId1"/>
</c:chartSpace>
</file>

<file path=xl/charts/chart29.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42"/>
    </mc:Choice>
    <mc:Fallback>
      <c:style val="42"/>
    </mc:Fallback>
  </mc:AlternateContent>
  <c:chart>
    <c:title>
      <c:tx>
        <c:rich>
          <a:bodyPr/>
          <a:lstStyle/>
          <a:p>
            <a:pPr>
              <a:defRPr/>
            </a:pPr>
            <a:r>
              <a:rPr lang="en-US"/>
              <a:t>Urb - Encosta dos cedros</a:t>
            </a:r>
          </a:p>
        </c:rich>
      </c:tx>
      <c:layout/>
      <c:overlay val="0"/>
    </c:title>
    <c:autoTitleDeleted val="0"/>
    <c:plotArea>
      <c:layout>
        <c:manualLayout>
          <c:layoutTarget val="inner"/>
          <c:xMode val="edge"/>
          <c:yMode val="edge"/>
          <c:x val="2.4691358024691357E-2"/>
          <c:y val="0.32444484748597435"/>
          <c:w val="0.89632490285004129"/>
          <c:h val="0.55961308824621336"/>
        </c:manualLayout>
      </c:layout>
      <c:barChart>
        <c:barDir val="bar"/>
        <c:grouping val="stacked"/>
        <c:varyColors val="0"/>
        <c:ser>
          <c:idx val="0"/>
          <c:order val="0"/>
          <c:invertIfNegative val="0"/>
          <c:dLbls>
            <c:showLegendKey val="0"/>
            <c:showVal val="1"/>
            <c:showCatName val="0"/>
            <c:showSerName val="0"/>
            <c:showPercent val="0"/>
            <c:showBubbleSize val="0"/>
            <c:showLeaderLines val="0"/>
          </c:dLbls>
          <c:val>
            <c:numRef>
              <c:f>'2014 - Ciclo de Operação'!$B$29</c:f>
              <c:numCache>
                <c:formatCode>0</c:formatCode>
                <c:ptCount val="1"/>
                <c:pt idx="0">
                  <c:v>3024</c:v>
                </c:pt>
              </c:numCache>
            </c:numRef>
          </c:val>
        </c:ser>
        <c:ser>
          <c:idx val="1"/>
          <c:order val="1"/>
          <c:invertIfNegative val="0"/>
          <c:dLbls>
            <c:dLbl>
              <c:idx val="0"/>
              <c:layout>
                <c:manualLayout>
                  <c:x val="0"/>
                  <c:y val="-0.17187213022842174"/>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'2014 - Ciclo de Operação'!$I$29</c:f>
              <c:numCache>
                <c:formatCode>General</c:formatCode>
                <c:ptCount val="1"/>
                <c:pt idx="0">
                  <c:v>6</c:v>
                </c:pt>
              </c:numCache>
            </c:numRef>
          </c:val>
        </c:ser>
        <c:ser>
          <c:idx val="2"/>
          <c:order val="2"/>
          <c:invertIfNegative val="0"/>
          <c:dLbls>
            <c:showLegendKey val="0"/>
            <c:showVal val="1"/>
            <c:showCatName val="0"/>
            <c:showSerName val="0"/>
            <c:showPercent val="0"/>
            <c:showBubbleSize val="0"/>
            <c:showLeaderLines val="0"/>
          </c:dLbls>
          <c:val>
            <c:numRef>
              <c:f>'2014 - Ciclo de Operação'!$B$30</c:f>
              <c:numCache>
                <c:formatCode>0</c:formatCode>
                <c:ptCount val="1"/>
                <c:pt idx="0">
                  <c:v>5616</c:v>
                </c:pt>
              </c:numCache>
            </c:numRef>
          </c:val>
        </c:ser>
        <c:dLbls>
          <c:showLegendKey val="0"/>
          <c:showVal val="0"/>
          <c:showCatName val="0"/>
          <c:showSerName val="0"/>
          <c:showPercent val="0"/>
          <c:showBubbleSize val="0"/>
        </c:dLbls>
        <c:gapWidth val="150"/>
        <c:overlap val="100"/>
        <c:axId val="110228992"/>
        <c:axId val="110230528"/>
      </c:barChart>
      <c:catAx>
        <c:axId val="110228992"/>
        <c:scaling>
          <c:orientation val="minMax"/>
        </c:scaling>
        <c:delete val="1"/>
        <c:axPos val="l"/>
        <c:majorTickMark val="out"/>
        <c:minorTickMark val="none"/>
        <c:tickLblPos val="nextTo"/>
        <c:crossAx val="110230528"/>
        <c:crosses val="autoZero"/>
        <c:auto val="1"/>
        <c:lblAlgn val="ctr"/>
        <c:lblOffset val="100"/>
        <c:noMultiLvlLbl val="0"/>
      </c:catAx>
      <c:valAx>
        <c:axId val="110230528"/>
        <c:scaling>
          <c:orientation val="minMax"/>
        </c:scaling>
        <c:delete val="1"/>
        <c:axPos val="b"/>
        <c:numFmt formatCode="0" sourceLinked="1"/>
        <c:majorTickMark val="out"/>
        <c:minorTickMark val="none"/>
        <c:tickLblPos val="nextTo"/>
        <c:crossAx val="110228992"/>
        <c:crosses val="autoZero"/>
        <c:crossBetween val="between"/>
      </c:valAx>
      <c:spPr>
        <a:noFill/>
        <a:ln w="25400">
          <a:noFill/>
        </a:ln>
      </c:spPr>
    </c:plotArea>
    <c:plotVisOnly val="1"/>
    <c:dispBlanksAs val="gap"/>
    <c:showDLblsOverMax val="0"/>
  </c:chart>
  <c:printSettings>
    <c:headerFooter/>
    <c:pageMargins b="0.75" l="0.7" r="0.7" t="0.75" header="0.3" footer="0.3"/>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Total de avarias Incinerador 2</c:v>
          </c:tx>
          <c:invertIfNegative val="0"/>
          <c:dLbls>
            <c:numFmt formatCode="#,##0;\-#,##0" sourceLinked="0"/>
            <c:txPr>
              <a:bodyPr/>
              <a:lstStyle/>
              <a:p>
                <a:pPr>
                  <a:defRPr b="1"/>
                </a:pPr>
                <a:endParaRPr lang="pt-PT"/>
              </a:p>
            </c:txPr>
            <c:showLegendKey val="0"/>
            <c:showVal val="1"/>
            <c:showCatName val="0"/>
            <c:showSerName val="0"/>
            <c:showPercent val="0"/>
            <c:showBubbleSize val="0"/>
            <c:showLeaderLines val="0"/>
          </c:dLbls>
          <c:cat>
            <c:numRef>
              <c:f>'2015 - Gráficos'!$F$9:$F$13</c:f>
              <c:numCache>
                <c:formatCode>General</c:formatCode>
                <c:ptCount val="5"/>
                <c:pt idx="0">
                  <c:v>5</c:v>
                </c:pt>
                <c:pt idx="1">
                  <c:v>80</c:v>
                </c:pt>
                <c:pt idx="2">
                  <c:v>194</c:v>
                </c:pt>
                <c:pt idx="3">
                  <c:v>210</c:v>
                </c:pt>
                <c:pt idx="4">
                  <c:v>240</c:v>
                </c:pt>
              </c:numCache>
            </c:numRef>
          </c:cat>
          <c:val>
            <c:numRef>
              <c:f>'2015 - Gráficos'!$G$9:$G$13</c:f>
              <c:numCache>
                <c:formatCode>0</c:formatCode>
                <c:ptCount val="5"/>
                <c:pt idx="0">
                  <c:v>2</c:v>
                </c:pt>
                <c:pt idx="1">
                  <c:v>1</c:v>
                </c:pt>
                <c:pt idx="2">
                  <c:v>1</c:v>
                </c:pt>
                <c:pt idx="3">
                  <c:v>1</c:v>
                </c:pt>
                <c:pt idx="4">
                  <c:v>1</c:v>
                </c:pt>
              </c:numCache>
            </c:numRef>
          </c:val>
        </c:ser>
        <c:dLbls>
          <c:showLegendKey val="0"/>
          <c:showVal val="0"/>
          <c:showCatName val="0"/>
          <c:showSerName val="0"/>
          <c:showPercent val="0"/>
          <c:showBubbleSize val="0"/>
        </c:dLbls>
        <c:gapWidth val="300"/>
        <c:axId val="98972800"/>
        <c:axId val="98974336"/>
      </c:barChart>
      <c:catAx>
        <c:axId val="98972800"/>
        <c:scaling>
          <c:orientation val="minMax"/>
        </c:scaling>
        <c:delete val="0"/>
        <c:axPos val="b"/>
        <c:numFmt formatCode="General" sourceLinked="1"/>
        <c:majorTickMark val="none"/>
        <c:minorTickMark val="none"/>
        <c:tickLblPos val="nextTo"/>
        <c:crossAx val="98974336"/>
        <c:crosses val="autoZero"/>
        <c:auto val="1"/>
        <c:lblAlgn val="ctr"/>
        <c:lblOffset val="100"/>
        <c:noMultiLvlLbl val="0"/>
      </c:catAx>
      <c:valAx>
        <c:axId val="98974336"/>
        <c:scaling>
          <c:orientation val="minMax"/>
        </c:scaling>
        <c:delete val="0"/>
        <c:axPos val="l"/>
        <c:majorGridlines/>
        <c:minorGridlines/>
        <c:numFmt formatCode="0" sourceLinked="1"/>
        <c:majorTickMark val="out"/>
        <c:minorTickMark val="none"/>
        <c:tickLblPos val="nextTo"/>
        <c:crossAx val="98972800"/>
        <c:crosses val="autoZero"/>
        <c:crossBetween val="between"/>
      </c:valAx>
    </c:plotArea>
    <c:legend>
      <c:legendPos val="r"/>
      <c:layout/>
      <c:overlay val="0"/>
    </c:legend>
    <c:plotVisOnly val="1"/>
    <c:dispBlanksAs val="gap"/>
    <c:showDLblsOverMax val="0"/>
  </c:chart>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42"/>
    </mc:Choice>
    <mc:Fallback>
      <c:style val="42"/>
    </mc:Fallback>
  </mc:AlternateContent>
  <c:chart>
    <c:title>
      <c:tx>
        <c:rich>
          <a:bodyPr/>
          <a:lstStyle/>
          <a:p>
            <a:pPr>
              <a:defRPr/>
            </a:pPr>
            <a:r>
              <a:rPr lang="en-US"/>
              <a:t>Urb.</a:t>
            </a:r>
            <a:r>
              <a:rPr lang="en-US" baseline="0"/>
              <a:t> - Serra de Lagares</a:t>
            </a:r>
            <a:endParaRPr lang="en-US"/>
          </a:p>
        </c:rich>
      </c:tx>
      <c:layout/>
      <c:overlay val="0"/>
    </c:title>
    <c:autoTitleDeleted val="0"/>
    <c:plotArea>
      <c:layout>
        <c:manualLayout>
          <c:layoutTarget val="inner"/>
          <c:xMode val="edge"/>
          <c:yMode val="edge"/>
          <c:x val="2.4691358024691357E-2"/>
          <c:y val="0.32444484748597435"/>
          <c:w val="0.89632490285004129"/>
          <c:h val="0.55961308824621336"/>
        </c:manualLayout>
      </c:layout>
      <c:barChart>
        <c:barDir val="bar"/>
        <c:grouping val="stacked"/>
        <c:varyColors val="0"/>
        <c:ser>
          <c:idx val="0"/>
          <c:order val="0"/>
          <c:invertIfNegative val="0"/>
          <c:dLbls>
            <c:showLegendKey val="0"/>
            <c:showVal val="1"/>
            <c:showCatName val="0"/>
            <c:showSerName val="0"/>
            <c:showPercent val="0"/>
            <c:showBubbleSize val="0"/>
            <c:showLeaderLines val="0"/>
          </c:dLbls>
          <c:val>
            <c:numRef>
              <c:f>'2014 - Ciclo de Operação'!$B$31</c:f>
              <c:numCache>
                <c:formatCode>0</c:formatCode>
                <c:ptCount val="1"/>
                <c:pt idx="0">
                  <c:v>4320</c:v>
                </c:pt>
              </c:numCache>
            </c:numRef>
          </c:val>
        </c:ser>
        <c:ser>
          <c:idx val="1"/>
          <c:order val="1"/>
          <c:invertIfNegative val="0"/>
          <c:dLbls>
            <c:dLbl>
              <c:idx val="0"/>
              <c:layout>
                <c:manualLayout>
                  <c:x val="0"/>
                  <c:y val="-0.16666677602806826"/>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'2014 - Ciclo de Operação'!$I$31</c:f>
              <c:numCache>
                <c:formatCode>General</c:formatCode>
                <c:ptCount val="1"/>
                <c:pt idx="0">
                  <c:v>11.5</c:v>
                </c:pt>
              </c:numCache>
            </c:numRef>
          </c:val>
        </c:ser>
        <c:ser>
          <c:idx val="2"/>
          <c:order val="2"/>
          <c:invertIfNegative val="0"/>
          <c:dLbls>
            <c:showLegendKey val="0"/>
            <c:showVal val="1"/>
            <c:showCatName val="0"/>
            <c:showSerName val="0"/>
            <c:showPercent val="0"/>
            <c:showBubbleSize val="0"/>
            <c:showLeaderLines val="0"/>
          </c:dLbls>
          <c:val>
            <c:numRef>
              <c:f>'2014 - Ciclo de Operação'!$B$32</c:f>
              <c:numCache>
                <c:formatCode>0</c:formatCode>
                <c:ptCount val="1"/>
                <c:pt idx="0">
                  <c:v>4320</c:v>
                </c:pt>
              </c:numCache>
            </c:numRef>
          </c:val>
        </c:ser>
        <c:dLbls>
          <c:showLegendKey val="0"/>
          <c:showVal val="0"/>
          <c:showCatName val="0"/>
          <c:showSerName val="0"/>
          <c:showPercent val="0"/>
          <c:showBubbleSize val="0"/>
        </c:dLbls>
        <c:gapWidth val="150"/>
        <c:overlap val="100"/>
        <c:axId val="110283008"/>
        <c:axId val="110297088"/>
      </c:barChart>
      <c:catAx>
        <c:axId val="110283008"/>
        <c:scaling>
          <c:orientation val="minMax"/>
        </c:scaling>
        <c:delete val="1"/>
        <c:axPos val="l"/>
        <c:majorTickMark val="out"/>
        <c:minorTickMark val="none"/>
        <c:tickLblPos val="nextTo"/>
        <c:crossAx val="110297088"/>
        <c:crosses val="autoZero"/>
        <c:auto val="1"/>
        <c:lblAlgn val="ctr"/>
        <c:lblOffset val="100"/>
        <c:noMultiLvlLbl val="0"/>
      </c:catAx>
      <c:valAx>
        <c:axId val="110297088"/>
        <c:scaling>
          <c:orientation val="minMax"/>
        </c:scaling>
        <c:delete val="1"/>
        <c:axPos val="b"/>
        <c:numFmt formatCode="0" sourceLinked="1"/>
        <c:majorTickMark val="out"/>
        <c:minorTickMark val="none"/>
        <c:tickLblPos val="nextTo"/>
        <c:crossAx val="110283008"/>
        <c:crosses val="autoZero"/>
        <c:crossBetween val="between"/>
      </c:valAx>
      <c:spPr>
        <a:noFill/>
        <a:ln w="25400">
          <a:noFill/>
        </a:ln>
      </c:spPr>
    </c:plotArea>
    <c:plotVisOnly val="1"/>
    <c:dispBlanksAs val="gap"/>
    <c:showDLblsOverMax val="0"/>
  </c:chart>
  <c:printSettings>
    <c:headerFooter/>
    <c:pageMargins b="0.75" l="0.7" r="0.7" t="0.75" header="0.3" footer="0.3"/>
    <c:pageSetup/>
  </c:printSettings>
  <c:userShapes r:id="rId1"/>
</c:chartSpace>
</file>

<file path=xl/charts/chart31.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42"/>
    </mc:Choice>
    <mc:Fallback>
      <c:style val="42"/>
    </mc:Fallback>
  </mc:AlternateContent>
  <c:chart>
    <c:title>
      <c:tx>
        <c:rich>
          <a:bodyPr/>
          <a:lstStyle/>
          <a:p>
            <a:pPr>
              <a:defRPr/>
            </a:pPr>
            <a:r>
              <a:rPr lang="en-US"/>
              <a:t>Urb. - Estacionamento auto</a:t>
            </a:r>
          </a:p>
        </c:rich>
      </c:tx>
      <c:layout/>
      <c:overlay val="0"/>
    </c:title>
    <c:autoTitleDeleted val="0"/>
    <c:plotArea>
      <c:layout>
        <c:manualLayout>
          <c:layoutTarget val="inner"/>
          <c:xMode val="edge"/>
          <c:yMode val="edge"/>
          <c:x val="2.4691358024691357E-2"/>
          <c:y val="0.32444484748597435"/>
          <c:w val="0.89632490285004129"/>
          <c:h val="0.55961308824621336"/>
        </c:manualLayout>
      </c:layout>
      <c:barChart>
        <c:barDir val="bar"/>
        <c:grouping val="stacked"/>
        <c:varyColors val="0"/>
        <c:ser>
          <c:idx val="0"/>
          <c:order val="0"/>
          <c:invertIfNegative val="0"/>
          <c:dLbls>
            <c:showLegendKey val="0"/>
            <c:showVal val="1"/>
            <c:showCatName val="0"/>
            <c:showSerName val="0"/>
            <c:showPercent val="0"/>
            <c:showBubbleSize val="0"/>
            <c:showLeaderLines val="0"/>
          </c:dLbls>
          <c:val>
            <c:numRef>
              <c:f>'2014 - Ciclo de Operação'!$B$33</c:f>
              <c:numCache>
                <c:formatCode>0</c:formatCode>
                <c:ptCount val="1"/>
                <c:pt idx="0">
                  <c:v>5064</c:v>
                </c:pt>
              </c:numCache>
            </c:numRef>
          </c:val>
        </c:ser>
        <c:ser>
          <c:idx val="1"/>
          <c:order val="1"/>
          <c:invertIfNegative val="0"/>
          <c:dLbls>
            <c:dLbl>
              <c:idx val="0"/>
              <c:layout>
                <c:manualLayout>
                  <c:x val="-4.9278028382204265E-3"/>
                  <c:y val="-0.16284984667109909"/>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'2014 - Ciclo de Operação'!$I$33</c:f>
              <c:numCache>
                <c:formatCode>General</c:formatCode>
                <c:ptCount val="1"/>
                <c:pt idx="0">
                  <c:v>4</c:v>
                </c:pt>
              </c:numCache>
            </c:numRef>
          </c:val>
        </c:ser>
        <c:ser>
          <c:idx val="2"/>
          <c:order val="2"/>
          <c:invertIfNegative val="0"/>
          <c:dLbls>
            <c:showLegendKey val="0"/>
            <c:showVal val="1"/>
            <c:showCatName val="0"/>
            <c:showSerName val="0"/>
            <c:showPercent val="0"/>
            <c:showBubbleSize val="0"/>
            <c:showLeaderLines val="0"/>
          </c:dLbls>
          <c:val>
            <c:numRef>
              <c:f>'2014 - Ciclo de Operação'!$B$34</c:f>
              <c:numCache>
                <c:formatCode>0</c:formatCode>
                <c:ptCount val="1"/>
                <c:pt idx="0">
                  <c:v>3576</c:v>
                </c:pt>
              </c:numCache>
            </c:numRef>
          </c:val>
        </c:ser>
        <c:dLbls>
          <c:showLegendKey val="0"/>
          <c:showVal val="0"/>
          <c:showCatName val="0"/>
          <c:showSerName val="0"/>
          <c:showPercent val="0"/>
          <c:showBubbleSize val="0"/>
        </c:dLbls>
        <c:gapWidth val="150"/>
        <c:overlap val="100"/>
        <c:axId val="110345216"/>
        <c:axId val="110887680"/>
      </c:barChart>
      <c:catAx>
        <c:axId val="110345216"/>
        <c:scaling>
          <c:orientation val="minMax"/>
        </c:scaling>
        <c:delete val="1"/>
        <c:axPos val="l"/>
        <c:majorTickMark val="out"/>
        <c:minorTickMark val="none"/>
        <c:tickLblPos val="nextTo"/>
        <c:crossAx val="110887680"/>
        <c:crosses val="autoZero"/>
        <c:auto val="1"/>
        <c:lblAlgn val="ctr"/>
        <c:lblOffset val="100"/>
        <c:noMultiLvlLbl val="0"/>
      </c:catAx>
      <c:valAx>
        <c:axId val="110887680"/>
        <c:scaling>
          <c:orientation val="minMax"/>
        </c:scaling>
        <c:delete val="1"/>
        <c:axPos val="b"/>
        <c:numFmt formatCode="0" sourceLinked="1"/>
        <c:majorTickMark val="out"/>
        <c:minorTickMark val="none"/>
        <c:tickLblPos val="nextTo"/>
        <c:crossAx val="110345216"/>
        <c:crosses val="autoZero"/>
        <c:crossBetween val="between"/>
      </c:valAx>
      <c:spPr>
        <a:noFill/>
        <a:ln w="25400">
          <a:noFill/>
        </a:ln>
      </c:spPr>
    </c:plotArea>
    <c:plotVisOnly val="1"/>
    <c:dispBlanksAs val="gap"/>
    <c:showDLblsOverMax val="0"/>
  </c:chart>
  <c:printSettings>
    <c:headerFooter/>
    <c:pageMargins b="0.75" l="0.7" r="0.7" t="0.75" header="0.3" footer="0.3"/>
    <c:pageSetup/>
  </c:printSettings>
  <c:userShapes r:id="rId1"/>
</c:chartSpace>
</file>

<file path=xl/charts/chart32.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42"/>
    </mc:Choice>
    <mc:Fallback>
      <c:style val="42"/>
    </mc:Fallback>
  </mc:AlternateContent>
  <c:chart>
    <c:title>
      <c:tx>
        <c:rich>
          <a:bodyPr/>
          <a:lstStyle/>
          <a:p>
            <a:pPr>
              <a:defRPr/>
            </a:pPr>
            <a:r>
              <a:rPr lang="en-US"/>
              <a:t>Urb. Ponte do rio</a:t>
            </a:r>
          </a:p>
        </c:rich>
      </c:tx>
      <c:layout/>
      <c:overlay val="0"/>
    </c:title>
    <c:autoTitleDeleted val="0"/>
    <c:plotArea>
      <c:layout>
        <c:manualLayout>
          <c:layoutTarget val="inner"/>
          <c:xMode val="edge"/>
          <c:yMode val="edge"/>
          <c:x val="2.4691358024691357E-2"/>
          <c:y val="0.32444484748597435"/>
          <c:w val="0.89632490285004129"/>
          <c:h val="0.55961308824621336"/>
        </c:manualLayout>
      </c:layout>
      <c:barChart>
        <c:barDir val="bar"/>
        <c:grouping val="stacked"/>
        <c:varyColors val="0"/>
        <c:ser>
          <c:idx val="0"/>
          <c:order val="0"/>
          <c:invertIfNegative val="0"/>
          <c:dLbls>
            <c:showLegendKey val="0"/>
            <c:showVal val="1"/>
            <c:showCatName val="0"/>
            <c:showSerName val="0"/>
            <c:showPercent val="0"/>
            <c:showBubbleSize val="0"/>
            <c:showLeaderLines val="0"/>
          </c:dLbls>
          <c:val>
            <c:numRef>
              <c:f>'2014 - Ciclo de Operação'!$B$35</c:f>
              <c:numCache>
                <c:formatCode>0</c:formatCode>
                <c:ptCount val="1"/>
                <c:pt idx="0">
                  <c:v>4488</c:v>
                </c:pt>
              </c:numCache>
            </c:numRef>
          </c:val>
        </c:ser>
        <c:ser>
          <c:idx val="1"/>
          <c:order val="1"/>
          <c:invertIfNegative val="0"/>
          <c:dLbls>
            <c:dLbl>
              <c:idx val="0"/>
              <c:layout>
                <c:manualLayout>
                  <c:x val="0"/>
                  <c:y val="-0.15710596872464844"/>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'2014 - Ciclo de Operação'!$I$35</c:f>
              <c:numCache>
                <c:formatCode>General</c:formatCode>
                <c:ptCount val="1"/>
                <c:pt idx="0">
                  <c:v>744</c:v>
                </c:pt>
              </c:numCache>
            </c:numRef>
          </c:val>
        </c:ser>
        <c:ser>
          <c:idx val="2"/>
          <c:order val="2"/>
          <c:invertIfNegative val="0"/>
          <c:dLbls>
            <c:showLegendKey val="0"/>
            <c:showVal val="1"/>
            <c:showCatName val="0"/>
            <c:showSerName val="0"/>
            <c:showPercent val="0"/>
            <c:showBubbleSize val="0"/>
            <c:showLeaderLines val="0"/>
          </c:dLbls>
          <c:val>
            <c:numRef>
              <c:f>'2014 - Ciclo de Operação'!$B$36</c:f>
              <c:numCache>
                <c:formatCode>0</c:formatCode>
                <c:ptCount val="1"/>
                <c:pt idx="0">
                  <c:v>4152</c:v>
                </c:pt>
              </c:numCache>
            </c:numRef>
          </c:val>
        </c:ser>
        <c:dLbls>
          <c:showLegendKey val="0"/>
          <c:showVal val="0"/>
          <c:showCatName val="0"/>
          <c:showSerName val="0"/>
          <c:showPercent val="0"/>
          <c:showBubbleSize val="0"/>
        </c:dLbls>
        <c:gapWidth val="150"/>
        <c:overlap val="100"/>
        <c:axId val="110927872"/>
        <c:axId val="110929408"/>
      </c:barChart>
      <c:catAx>
        <c:axId val="110927872"/>
        <c:scaling>
          <c:orientation val="minMax"/>
        </c:scaling>
        <c:delete val="1"/>
        <c:axPos val="l"/>
        <c:majorTickMark val="out"/>
        <c:minorTickMark val="none"/>
        <c:tickLblPos val="nextTo"/>
        <c:crossAx val="110929408"/>
        <c:crosses val="autoZero"/>
        <c:auto val="1"/>
        <c:lblAlgn val="ctr"/>
        <c:lblOffset val="100"/>
        <c:noMultiLvlLbl val="0"/>
      </c:catAx>
      <c:valAx>
        <c:axId val="110929408"/>
        <c:scaling>
          <c:orientation val="minMax"/>
        </c:scaling>
        <c:delete val="1"/>
        <c:axPos val="b"/>
        <c:numFmt formatCode="0" sourceLinked="1"/>
        <c:majorTickMark val="out"/>
        <c:minorTickMark val="none"/>
        <c:tickLblPos val="nextTo"/>
        <c:crossAx val="110927872"/>
        <c:crosses val="autoZero"/>
        <c:crossBetween val="between"/>
      </c:valAx>
      <c:spPr>
        <a:noFill/>
        <a:ln w="25400">
          <a:noFill/>
        </a:ln>
      </c:spPr>
    </c:plotArea>
    <c:plotVisOnly val="1"/>
    <c:dispBlanksAs val="gap"/>
    <c:showDLblsOverMax val="0"/>
  </c:chart>
  <c:printSettings>
    <c:headerFooter/>
    <c:pageMargins b="0.75" l="0.7" r="0.7" t="0.75" header="0.3" footer="0.3"/>
    <c:pageSetup/>
  </c:printSettings>
  <c:userShapes r:id="rId1"/>
</c:chartSpace>
</file>

<file path=xl/charts/chart33.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Total de avarias por dia - 2013</c:v>
          </c:tx>
          <c:invertIfNegative val="0"/>
          <c:dLbls>
            <c:numFmt formatCode="#,##0;\-#,##0" sourceLinked="0"/>
            <c:txPr>
              <a:bodyPr/>
              <a:lstStyle/>
              <a:p>
                <a:pPr>
                  <a:defRPr b="1"/>
                </a:pPr>
                <a:endParaRPr lang="pt-PT"/>
              </a:p>
            </c:txPr>
            <c:showLegendKey val="0"/>
            <c:showVal val="1"/>
            <c:showCatName val="0"/>
            <c:showSerName val="0"/>
            <c:showPercent val="0"/>
            <c:showBubbleSize val="0"/>
            <c:showLeaderLines val="0"/>
          </c:dLbls>
          <c:cat>
            <c:numRef>
              <c:f>'2013 - Gráficos'!$B$6:$B$23</c:f>
              <c:numCache>
                <c:formatCode>General</c:formatCode>
                <c:ptCount val="18"/>
                <c:pt idx="0">
                  <c:v>23</c:v>
                </c:pt>
                <c:pt idx="1">
                  <c:v>25</c:v>
                </c:pt>
                <c:pt idx="2">
                  <c:v>27</c:v>
                </c:pt>
                <c:pt idx="3">
                  <c:v>28</c:v>
                </c:pt>
                <c:pt idx="4">
                  <c:v>29</c:v>
                </c:pt>
                <c:pt idx="5">
                  <c:v>37</c:v>
                </c:pt>
                <c:pt idx="6">
                  <c:v>56</c:v>
                </c:pt>
                <c:pt idx="7">
                  <c:v>61</c:v>
                </c:pt>
                <c:pt idx="8">
                  <c:v>64</c:v>
                </c:pt>
                <c:pt idx="9">
                  <c:v>69</c:v>
                </c:pt>
                <c:pt idx="10">
                  <c:v>73</c:v>
                </c:pt>
                <c:pt idx="11">
                  <c:v>74</c:v>
                </c:pt>
                <c:pt idx="12">
                  <c:v>87</c:v>
                </c:pt>
                <c:pt idx="13">
                  <c:v>88</c:v>
                </c:pt>
                <c:pt idx="14">
                  <c:v>91</c:v>
                </c:pt>
                <c:pt idx="15">
                  <c:v>107</c:v>
                </c:pt>
                <c:pt idx="16">
                  <c:v>136</c:v>
                </c:pt>
                <c:pt idx="17">
                  <c:v>137</c:v>
                </c:pt>
              </c:numCache>
            </c:numRef>
          </c:cat>
          <c:val>
            <c:numRef>
              <c:f>'2013 - Gráficos'!$C$6:$C$23</c:f>
              <c:numCache>
                <c:formatCode>0</c:formatCode>
                <c:ptCount val="18"/>
                <c:pt idx="0">
                  <c:v>2</c:v>
                </c:pt>
                <c:pt idx="1">
                  <c:v>1</c:v>
                </c:pt>
                <c:pt idx="2">
                  <c:v>1</c:v>
                </c:pt>
                <c:pt idx="3">
                  <c:v>1</c:v>
                </c:pt>
                <c:pt idx="4">
                  <c:v>1</c:v>
                </c:pt>
                <c:pt idx="5">
                  <c:v>1</c:v>
                </c:pt>
                <c:pt idx="6">
                  <c:v>1</c:v>
                </c:pt>
                <c:pt idx="7">
                  <c:v>1</c:v>
                </c:pt>
                <c:pt idx="8">
                  <c:v>1</c:v>
                </c:pt>
                <c:pt idx="9">
                  <c:v>1</c:v>
                </c:pt>
                <c:pt idx="10">
                  <c:v>2</c:v>
                </c:pt>
                <c:pt idx="11">
                  <c:v>1</c:v>
                </c:pt>
                <c:pt idx="12">
                  <c:v>1</c:v>
                </c:pt>
                <c:pt idx="13">
                  <c:v>1</c:v>
                </c:pt>
                <c:pt idx="14">
                  <c:v>1</c:v>
                </c:pt>
                <c:pt idx="15">
                  <c:v>1</c:v>
                </c:pt>
                <c:pt idx="16">
                  <c:v>1</c:v>
                </c:pt>
                <c:pt idx="17">
                  <c:v>1</c:v>
                </c:pt>
              </c:numCache>
            </c:numRef>
          </c:val>
        </c:ser>
        <c:dLbls>
          <c:showLegendKey val="0"/>
          <c:showVal val="0"/>
          <c:showCatName val="0"/>
          <c:showSerName val="0"/>
          <c:showPercent val="0"/>
          <c:showBubbleSize val="0"/>
        </c:dLbls>
        <c:gapWidth val="300"/>
        <c:axId val="109985792"/>
        <c:axId val="109987712"/>
      </c:barChart>
      <c:catAx>
        <c:axId val="109985792"/>
        <c:scaling>
          <c:orientation val="minMax"/>
        </c:scaling>
        <c:delete val="0"/>
        <c:axPos val="b"/>
        <c:title>
          <c:tx>
            <c:rich>
              <a:bodyPr/>
              <a:lstStyle/>
              <a:p>
                <a:pPr>
                  <a:defRPr/>
                </a:pPr>
                <a:r>
                  <a:rPr lang="pt-PT"/>
                  <a:t>Numero</a:t>
                </a:r>
                <a:r>
                  <a:rPr lang="pt-PT" baseline="0"/>
                  <a:t> de dias/ano</a:t>
                </a:r>
                <a:endParaRPr lang="pt-PT"/>
              </a:p>
            </c:rich>
          </c:tx>
          <c:layout/>
          <c:overlay val="0"/>
        </c:title>
        <c:numFmt formatCode="General" sourceLinked="1"/>
        <c:majorTickMark val="none"/>
        <c:minorTickMark val="none"/>
        <c:tickLblPos val="nextTo"/>
        <c:txPr>
          <a:bodyPr rot="-5400000" vert="horz"/>
          <a:lstStyle/>
          <a:p>
            <a:pPr>
              <a:defRPr/>
            </a:pPr>
            <a:endParaRPr lang="pt-PT"/>
          </a:p>
        </c:txPr>
        <c:crossAx val="109987712"/>
        <c:crosses val="autoZero"/>
        <c:auto val="1"/>
        <c:lblAlgn val="ctr"/>
        <c:lblOffset val="100"/>
        <c:noMultiLvlLbl val="0"/>
      </c:catAx>
      <c:valAx>
        <c:axId val="109987712"/>
        <c:scaling>
          <c:orientation val="minMax"/>
        </c:scaling>
        <c:delete val="0"/>
        <c:axPos val="l"/>
        <c:majorGridlines/>
        <c:minorGridlines/>
        <c:title>
          <c:tx>
            <c:rich>
              <a:bodyPr/>
              <a:lstStyle/>
              <a:p>
                <a:pPr>
                  <a:defRPr/>
                </a:pPr>
                <a:r>
                  <a:rPr lang="pt-PT"/>
                  <a:t>Total</a:t>
                </a:r>
                <a:r>
                  <a:rPr lang="pt-PT" baseline="0"/>
                  <a:t> de avarias</a:t>
                </a:r>
                <a:endParaRPr lang="pt-PT"/>
              </a:p>
            </c:rich>
          </c:tx>
          <c:layout/>
          <c:overlay val="0"/>
        </c:title>
        <c:numFmt formatCode="0" sourceLinked="1"/>
        <c:majorTickMark val="out"/>
        <c:minorTickMark val="none"/>
        <c:tickLblPos val="nextTo"/>
        <c:crossAx val="109985792"/>
        <c:crosses val="autoZero"/>
        <c:crossBetween val="between"/>
      </c:valAx>
    </c:plotArea>
    <c:legend>
      <c:legendPos val="r"/>
      <c:layout/>
      <c:overlay val="0"/>
    </c:legend>
    <c:plotVisOnly val="1"/>
    <c:dispBlanksAs val="gap"/>
    <c:showDLblsOverMax val="0"/>
  </c:chart>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Total de avarias Combustivel fossil 41</c:v>
          </c:tx>
          <c:invertIfNegative val="0"/>
          <c:dLbls>
            <c:numFmt formatCode="#,##0;\-#,##0" sourceLinked="0"/>
            <c:txPr>
              <a:bodyPr/>
              <a:lstStyle/>
              <a:p>
                <a:pPr>
                  <a:defRPr b="1"/>
                </a:pPr>
                <a:endParaRPr lang="pt-PT"/>
              </a:p>
            </c:txPr>
            <c:showLegendKey val="0"/>
            <c:showVal val="1"/>
            <c:showCatName val="0"/>
            <c:showSerName val="0"/>
            <c:showPercent val="0"/>
            <c:showBubbleSize val="0"/>
            <c:showLeaderLines val="0"/>
          </c:dLbls>
          <c:cat>
            <c:numRef>
              <c:f>'2013 - Gráficos'!$F$6:$F$7</c:f>
              <c:numCache>
                <c:formatCode>General</c:formatCode>
                <c:ptCount val="2"/>
                <c:pt idx="0">
                  <c:v>23</c:v>
                </c:pt>
                <c:pt idx="1">
                  <c:v>221</c:v>
                </c:pt>
              </c:numCache>
            </c:numRef>
          </c:cat>
          <c:val>
            <c:numRef>
              <c:f>'2013 - Gráficos'!$G$6:$G$7</c:f>
              <c:numCache>
                <c:formatCode>0</c:formatCode>
                <c:ptCount val="2"/>
                <c:pt idx="0">
                  <c:v>1</c:v>
                </c:pt>
                <c:pt idx="1">
                  <c:v>1</c:v>
                </c:pt>
              </c:numCache>
            </c:numRef>
          </c:val>
        </c:ser>
        <c:dLbls>
          <c:showLegendKey val="0"/>
          <c:showVal val="0"/>
          <c:showCatName val="0"/>
          <c:showSerName val="0"/>
          <c:showPercent val="0"/>
          <c:showBubbleSize val="0"/>
        </c:dLbls>
        <c:gapWidth val="300"/>
        <c:axId val="110024960"/>
        <c:axId val="110030848"/>
      </c:barChart>
      <c:catAx>
        <c:axId val="110024960"/>
        <c:scaling>
          <c:orientation val="minMax"/>
        </c:scaling>
        <c:delete val="0"/>
        <c:axPos val="b"/>
        <c:numFmt formatCode="General" sourceLinked="1"/>
        <c:majorTickMark val="none"/>
        <c:minorTickMark val="none"/>
        <c:tickLblPos val="nextTo"/>
        <c:crossAx val="110030848"/>
        <c:crosses val="autoZero"/>
        <c:auto val="1"/>
        <c:lblAlgn val="ctr"/>
        <c:lblOffset val="100"/>
        <c:noMultiLvlLbl val="0"/>
      </c:catAx>
      <c:valAx>
        <c:axId val="110030848"/>
        <c:scaling>
          <c:orientation val="minMax"/>
        </c:scaling>
        <c:delete val="0"/>
        <c:axPos val="l"/>
        <c:majorGridlines/>
        <c:minorGridlines/>
        <c:numFmt formatCode="0" sourceLinked="1"/>
        <c:majorTickMark val="out"/>
        <c:minorTickMark val="none"/>
        <c:tickLblPos val="nextTo"/>
        <c:crossAx val="110024960"/>
        <c:crosses val="autoZero"/>
        <c:crossBetween val="between"/>
      </c:valAx>
    </c:plotArea>
    <c:legend>
      <c:legendPos val="r"/>
      <c:layout/>
      <c:overlay val="0"/>
    </c:legend>
    <c:plotVisOnly val="1"/>
    <c:dispBlanksAs val="gap"/>
    <c:showDLblsOverMax val="0"/>
  </c:chart>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Total de avarias Incinerador 2</c:v>
          </c:tx>
          <c:invertIfNegative val="0"/>
          <c:dLbls>
            <c:numFmt formatCode="#,##0;\-#,##0" sourceLinked="0"/>
            <c:txPr>
              <a:bodyPr/>
              <a:lstStyle/>
              <a:p>
                <a:pPr>
                  <a:defRPr b="1"/>
                </a:pPr>
                <a:endParaRPr lang="pt-PT"/>
              </a:p>
            </c:txPr>
            <c:showLegendKey val="0"/>
            <c:showVal val="1"/>
            <c:showCatName val="0"/>
            <c:showSerName val="0"/>
            <c:showPercent val="0"/>
            <c:showBubbleSize val="0"/>
            <c:showLeaderLines val="0"/>
          </c:dLbls>
          <c:cat>
            <c:numRef>
              <c:f>'2013 - Gráficos'!$F$8:$F$9</c:f>
              <c:numCache>
                <c:formatCode>General</c:formatCode>
                <c:ptCount val="2"/>
                <c:pt idx="0">
                  <c:v>136</c:v>
                </c:pt>
                <c:pt idx="1">
                  <c:v>148</c:v>
                </c:pt>
              </c:numCache>
            </c:numRef>
          </c:cat>
          <c:val>
            <c:numRef>
              <c:f>'2013 - Gráficos'!$G$8:$G$9</c:f>
              <c:numCache>
                <c:formatCode>0</c:formatCode>
                <c:ptCount val="2"/>
                <c:pt idx="0">
                  <c:v>1</c:v>
                </c:pt>
                <c:pt idx="1">
                  <c:v>1</c:v>
                </c:pt>
              </c:numCache>
            </c:numRef>
          </c:val>
        </c:ser>
        <c:dLbls>
          <c:showLegendKey val="0"/>
          <c:showVal val="0"/>
          <c:showCatName val="0"/>
          <c:showSerName val="0"/>
          <c:showPercent val="0"/>
          <c:showBubbleSize val="0"/>
        </c:dLbls>
        <c:gapWidth val="300"/>
        <c:axId val="110645248"/>
        <c:axId val="110646784"/>
      </c:barChart>
      <c:catAx>
        <c:axId val="110645248"/>
        <c:scaling>
          <c:orientation val="minMax"/>
        </c:scaling>
        <c:delete val="0"/>
        <c:axPos val="b"/>
        <c:numFmt formatCode="General" sourceLinked="1"/>
        <c:majorTickMark val="none"/>
        <c:minorTickMark val="none"/>
        <c:tickLblPos val="nextTo"/>
        <c:crossAx val="110646784"/>
        <c:crosses val="autoZero"/>
        <c:auto val="1"/>
        <c:lblAlgn val="ctr"/>
        <c:lblOffset val="100"/>
        <c:noMultiLvlLbl val="0"/>
      </c:catAx>
      <c:valAx>
        <c:axId val="110646784"/>
        <c:scaling>
          <c:orientation val="minMax"/>
        </c:scaling>
        <c:delete val="0"/>
        <c:axPos val="l"/>
        <c:majorGridlines/>
        <c:minorGridlines/>
        <c:numFmt formatCode="0" sourceLinked="1"/>
        <c:majorTickMark val="out"/>
        <c:minorTickMark val="none"/>
        <c:tickLblPos val="nextTo"/>
        <c:crossAx val="110645248"/>
        <c:crosses val="autoZero"/>
        <c:crossBetween val="between"/>
      </c:valAx>
    </c:plotArea>
    <c:legend>
      <c:legendPos val="r"/>
      <c:layout/>
      <c:overlay val="0"/>
    </c:legend>
    <c:plotVisOnly val="1"/>
    <c:dispBlanksAs val="gap"/>
    <c:showDLblsOverMax val="0"/>
  </c:chart>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Total de avarias Incinerador 3</c:v>
          </c:tx>
          <c:invertIfNegative val="0"/>
          <c:dLbls>
            <c:numFmt formatCode="#,##0;\-#,##0" sourceLinked="0"/>
            <c:txPr>
              <a:bodyPr/>
              <a:lstStyle/>
              <a:p>
                <a:pPr>
                  <a:defRPr b="1"/>
                </a:pPr>
                <a:endParaRPr lang="pt-PT"/>
              </a:p>
            </c:txPr>
            <c:showLegendKey val="0"/>
            <c:showVal val="1"/>
            <c:showCatName val="0"/>
            <c:showSerName val="0"/>
            <c:showPercent val="0"/>
            <c:showBubbleSize val="0"/>
            <c:showLeaderLines val="0"/>
          </c:dLbls>
          <c:cat>
            <c:numRef>
              <c:f>'2013 - Gráficos'!$F$10:$F$33</c:f>
              <c:numCache>
                <c:formatCode>General</c:formatCode>
                <c:ptCount val="24"/>
                <c:pt idx="0">
                  <c:v>23</c:v>
                </c:pt>
                <c:pt idx="1">
                  <c:v>25</c:v>
                </c:pt>
                <c:pt idx="2">
                  <c:v>28</c:v>
                </c:pt>
                <c:pt idx="3">
                  <c:v>29</c:v>
                </c:pt>
                <c:pt idx="4">
                  <c:v>37</c:v>
                </c:pt>
                <c:pt idx="5">
                  <c:v>56</c:v>
                </c:pt>
                <c:pt idx="6">
                  <c:v>64</c:v>
                </c:pt>
                <c:pt idx="7">
                  <c:v>69</c:v>
                </c:pt>
                <c:pt idx="8">
                  <c:v>73</c:v>
                </c:pt>
                <c:pt idx="9">
                  <c:v>74</c:v>
                </c:pt>
                <c:pt idx="10">
                  <c:v>87</c:v>
                </c:pt>
                <c:pt idx="11">
                  <c:v>88</c:v>
                </c:pt>
                <c:pt idx="12">
                  <c:v>91</c:v>
                </c:pt>
                <c:pt idx="13">
                  <c:v>191</c:v>
                </c:pt>
                <c:pt idx="14">
                  <c:v>195</c:v>
                </c:pt>
                <c:pt idx="15">
                  <c:v>210</c:v>
                </c:pt>
                <c:pt idx="16">
                  <c:v>236</c:v>
                </c:pt>
                <c:pt idx="17">
                  <c:v>284</c:v>
                </c:pt>
                <c:pt idx="18">
                  <c:v>289</c:v>
                </c:pt>
                <c:pt idx="19">
                  <c:v>290</c:v>
                </c:pt>
                <c:pt idx="20">
                  <c:v>311</c:v>
                </c:pt>
                <c:pt idx="21">
                  <c:v>320</c:v>
                </c:pt>
                <c:pt idx="22">
                  <c:v>325</c:v>
                </c:pt>
                <c:pt idx="23">
                  <c:v>339</c:v>
                </c:pt>
              </c:numCache>
            </c:numRef>
          </c:cat>
          <c:val>
            <c:numRef>
              <c:f>'2013 - Gráficos'!$G$10:$G$33</c:f>
              <c:numCache>
                <c:formatCode>0</c:formatCode>
                <c:ptCount val="24"/>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numCache>
            </c:numRef>
          </c:val>
        </c:ser>
        <c:dLbls>
          <c:showLegendKey val="0"/>
          <c:showVal val="0"/>
          <c:showCatName val="0"/>
          <c:showSerName val="0"/>
          <c:showPercent val="0"/>
          <c:showBubbleSize val="0"/>
        </c:dLbls>
        <c:gapWidth val="300"/>
        <c:axId val="110672128"/>
        <c:axId val="110673920"/>
      </c:barChart>
      <c:catAx>
        <c:axId val="110672128"/>
        <c:scaling>
          <c:orientation val="minMax"/>
        </c:scaling>
        <c:delete val="0"/>
        <c:axPos val="b"/>
        <c:numFmt formatCode="General" sourceLinked="1"/>
        <c:majorTickMark val="none"/>
        <c:minorTickMark val="none"/>
        <c:tickLblPos val="nextTo"/>
        <c:txPr>
          <a:bodyPr rot="-5400000" vert="horz"/>
          <a:lstStyle/>
          <a:p>
            <a:pPr>
              <a:defRPr/>
            </a:pPr>
            <a:endParaRPr lang="pt-PT"/>
          </a:p>
        </c:txPr>
        <c:crossAx val="110673920"/>
        <c:crosses val="autoZero"/>
        <c:auto val="1"/>
        <c:lblAlgn val="ctr"/>
        <c:lblOffset val="100"/>
        <c:noMultiLvlLbl val="0"/>
      </c:catAx>
      <c:valAx>
        <c:axId val="110673920"/>
        <c:scaling>
          <c:orientation val="minMax"/>
        </c:scaling>
        <c:delete val="0"/>
        <c:axPos val="l"/>
        <c:majorGridlines/>
        <c:minorGridlines/>
        <c:numFmt formatCode="0" sourceLinked="1"/>
        <c:majorTickMark val="out"/>
        <c:minorTickMark val="none"/>
        <c:tickLblPos val="nextTo"/>
        <c:crossAx val="110672128"/>
        <c:crosses val="autoZero"/>
        <c:crossBetween val="between"/>
      </c:valAx>
    </c:plotArea>
    <c:legend>
      <c:legendPos val="r"/>
      <c:layout/>
      <c:overlay val="0"/>
    </c:legend>
    <c:plotVisOnly val="1"/>
    <c:dispBlanksAs val="gap"/>
    <c:showDLblsOverMax val="0"/>
  </c:chart>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Total de avarias Moinhos</c:v>
          </c:tx>
          <c:invertIfNegative val="0"/>
          <c:dLbls>
            <c:dLbl>
              <c:idx val="0"/>
              <c:layout/>
              <c:showLegendKey val="0"/>
              <c:showVal val="1"/>
              <c:showCatName val="0"/>
              <c:showSerName val="0"/>
              <c:showPercent val="0"/>
              <c:showBubbleSize val="0"/>
            </c:dLbl>
            <c:numFmt formatCode="#,##0;\-#,##0" sourceLinked="0"/>
            <c:txPr>
              <a:bodyPr/>
              <a:lstStyle/>
              <a:p>
                <a:pPr>
                  <a:defRPr b="1"/>
                </a:pPr>
                <a:endParaRPr lang="pt-PT"/>
              </a:p>
            </c:txPr>
            <c:showLegendKey val="0"/>
            <c:showVal val="0"/>
            <c:showCatName val="0"/>
            <c:showSerName val="0"/>
            <c:showPercent val="0"/>
            <c:showBubbleSize val="0"/>
          </c:dLbls>
          <c:cat>
            <c:numRef>
              <c:f>'2013 - Gráficos'!$F$34:$F$38</c:f>
              <c:numCache>
                <c:formatCode>General</c:formatCode>
                <c:ptCount val="5"/>
                <c:pt idx="0">
                  <c:v>27</c:v>
                </c:pt>
                <c:pt idx="1">
                  <c:v>73</c:v>
                </c:pt>
                <c:pt idx="2">
                  <c:v>137</c:v>
                </c:pt>
                <c:pt idx="3">
                  <c:v>266</c:v>
                </c:pt>
                <c:pt idx="4">
                  <c:v>277</c:v>
                </c:pt>
              </c:numCache>
            </c:numRef>
          </c:cat>
          <c:val>
            <c:numRef>
              <c:f>'2013 - Gráficos'!$G$34:$G$38</c:f>
              <c:numCache>
                <c:formatCode>0</c:formatCode>
                <c:ptCount val="5"/>
                <c:pt idx="0">
                  <c:v>1</c:v>
                </c:pt>
                <c:pt idx="1">
                  <c:v>1</c:v>
                </c:pt>
                <c:pt idx="2">
                  <c:v>1</c:v>
                </c:pt>
                <c:pt idx="3">
                  <c:v>1</c:v>
                </c:pt>
                <c:pt idx="4">
                  <c:v>1</c:v>
                </c:pt>
              </c:numCache>
            </c:numRef>
          </c:val>
        </c:ser>
        <c:dLbls>
          <c:showLegendKey val="0"/>
          <c:showVal val="0"/>
          <c:showCatName val="0"/>
          <c:showSerName val="0"/>
          <c:showPercent val="0"/>
          <c:showBubbleSize val="0"/>
        </c:dLbls>
        <c:gapWidth val="300"/>
        <c:axId val="109858176"/>
        <c:axId val="109864064"/>
      </c:barChart>
      <c:catAx>
        <c:axId val="109858176"/>
        <c:scaling>
          <c:orientation val="minMax"/>
        </c:scaling>
        <c:delete val="0"/>
        <c:axPos val="b"/>
        <c:numFmt formatCode="General" sourceLinked="1"/>
        <c:majorTickMark val="none"/>
        <c:minorTickMark val="none"/>
        <c:tickLblPos val="nextTo"/>
        <c:crossAx val="109864064"/>
        <c:crosses val="autoZero"/>
        <c:auto val="1"/>
        <c:lblAlgn val="ctr"/>
        <c:lblOffset val="100"/>
        <c:noMultiLvlLbl val="0"/>
      </c:catAx>
      <c:valAx>
        <c:axId val="109864064"/>
        <c:scaling>
          <c:orientation val="minMax"/>
        </c:scaling>
        <c:delete val="0"/>
        <c:axPos val="l"/>
        <c:majorGridlines/>
        <c:minorGridlines/>
        <c:numFmt formatCode="0" sourceLinked="1"/>
        <c:majorTickMark val="out"/>
        <c:minorTickMark val="none"/>
        <c:tickLblPos val="nextTo"/>
        <c:crossAx val="109858176"/>
        <c:crosses val="autoZero"/>
        <c:crossBetween val="between"/>
      </c:valAx>
    </c:plotArea>
    <c:legend>
      <c:legendPos val="r"/>
      <c:layout/>
      <c:overlay val="0"/>
    </c:legend>
    <c:plotVisOnly val="1"/>
    <c:dispBlanksAs val="gap"/>
    <c:showDLblsOverMax val="0"/>
  </c:chart>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Total de avarias Postos Urb.</c:v>
          </c:tx>
          <c:invertIfNegative val="0"/>
          <c:dLbls>
            <c:numFmt formatCode="#,##0;\-#,##0" sourceLinked="0"/>
            <c:txPr>
              <a:bodyPr/>
              <a:lstStyle/>
              <a:p>
                <a:pPr>
                  <a:defRPr b="1"/>
                </a:pPr>
                <a:endParaRPr lang="pt-PT"/>
              </a:p>
            </c:txPr>
            <c:showLegendKey val="0"/>
            <c:showVal val="1"/>
            <c:showCatName val="0"/>
            <c:showSerName val="0"/>
            <c:showPercent val="0"/>
            <c:showBubbleSize val="0"/>
            <c:showLeaderLines val="0"/>
          </c:dLbls>
          <c:cat>
            <c:numRef>
              <c:f>'2013 - Gráficos'!$F$39:$F$42</c:f>
              <c:numCache>
                <c:formatCode>General</c:formatCode>
                <c:ptCount val="4"/>
                <c:pt idx="0">
                  <c:v>61</c:v>
                </c:pt>
                <c:pt idx="1">
                  <c:v>107</c:v>
                </c:pt>
                <c:pt idx="2">
                  <c:v>157</c:v>
                </c:pt>
                <c:pt idx="3">
                  <c:v>339</c:v>
                </c:pt>
              </c:numCache>
            </c:numRef>
          </c:cat>
          <c:val>
            <c:numRef>
              <c:f>'2013 - Gráficos'!$G$39:$G$42</c:f>
              <c:numCache>
                <c:formatCode>0</c:formatCode>
                <c:ptCount val="4"/>
                <c:pt idx="0">
                  <c:v>1</c:v>
                </c:pt>
                <c:pt idx="1">
                  <c:v>1</c:v>
                </c:pt>
                <c:pt idx="2">
                  <c:v>1</c:v>
                </c:pt>
                <c:pt idx="3">
                  <c:v>1</c:v>
                </c:pt>
              </c:numCache>
            </c:numRef>
          </c:val>
        </c:ser>
        <c:dLbls>
          <c:showLegendKey val="0"/>
          <c:showVal val="0"/>
          <c:showCatName val="0"/>
          <c:showSerName val="0"/>
          <c:showPercent val="0"/>
          <c:showBubbleSize val="0"/>
        </c:dLbls>
        <c:gapWidth val="300"/>
        <c:axId val="109900928"/>
        <c:axId val="109902464"/>
      </c:barChart>
      <c:catAx>
        <c:axId val="109900928"/>
        <c:scaling>
          <c:orientation val="minMax"/>
        </c:scaling>
        <c:delete val="0"/>
        <c:axPos val="b"/>
        <c:numFmt formatCode="General" sourceLinked="1"/>
        <c:majorTickMark val="none"/>
        <c:minorTickMark val="none"/>
        <c:tickLblPos val="nextTo"/>
        <c:crossAx val="109902464"/>
        <c:crosses val="autoZero"/>
        <c:auto val="1"/>
        <c:lblAlgn val="ctr"/>
        <c:lblOffset val="100"/>
        <c:noMultiLvlLbl val="0"/>
      </c:catAx>
      <c:valAx>
        <c:axId val="109902464"/>
        <c:scaling>
          <c:orientation val="minMax"/>
        </c:scaling>
        <c:delete val="0"/>
        <c:axPos val="l"/>
        <c:majorGridlines/>
        <c:minorGridlines/>
        <c:numFmt formatCode="0" sourceLinked="1"/>
        <c:majorTickMark val="out"/>
        <c:minorTickMark val="none"/>
        <c:tickLblPos val="nextTo"/>
        <c:crossAx val="109900928"/>
        <c:crosses val="autoZero"/>
        <c:crossBetween val="between"/>
      </c:valAx>
    </c:plotArea>
    <c:legend>
      <c:legendPos val="r"/>
      <c:layout/>
      <c:overlay val="0"/>
    </c:legend>
    <c:plotVisOnly val="1"/>
    <c:dispBlanksAs val="gap"/>
    <c:showDLblsOverMax val="0"/>
  </c:chart>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42"/>
    </mc:Choice>
    <mc:Fallback>
      <c:style val="42"/>
    </mc:Fallback>
  </mc:AlternateContent>
  <c:chart>
    <c:title>
      <c:tx>
        <c:rich>
          <a:bodyPr/>
          <a:lstStyle/>
          <a:p>
            <a:pPr>
              <a:defRPr/>
            </a:pPr>
            <a:r>
              <a:rPr lang="en-US"/>
              <a:t>Combustivel fossil 41 - Chaminé</a:t>
            </a:r>
          </a:p>
        </c:rich>
      </c:tx>
      <c:layout/>
      <c:overlay val="0"/>
    </c:title>
    <c:autoTitleDeleted val="0"/>
    <c:plotArea>
      <c:layout>
        <c:manualLayout>
          <c:layoutTarget val="inner"/>
          <c:xMode val="edge"/>
          <c:yMode val="edge"/>
          <c:x val="2.4691358024691357E-2"/>
          <c:y val="0.32444484748597435"/>
          <c:w val="0.95286195286195285"/>
          <c:h val="0.55961308824621336"/>
        </c:manualLayout>
      </c:layout>
      <c:barChart>
        <c:barDir val="bar"/>
        <c:grouping val="stacked"/>
        <c:varyColors val="0"/>
        <c:ser>
          <c:idx val="0"/>
          <c:order val="0"/>
          <c:invertIfNegative val="0"/>
          <c:dLbls>
            <c:showLegendKey val="0"/>
            <c:showVal val="1"/>
            <c:showCatName val="0"/>
            <c:showSerName val="0"/>
            <c:showPercent val="0"/>
            <c:showBubbleSize val="0"/>
            <c:showLeaderLines val="0"/>
          </c:dLbls>
          <c:val>
            <c:numRef>
              <c:f>'2013 - Ciclo de Operação'!$B$7</c:f>
              <c:numCache>
                <c:formatCode>0</c:formatCode>
                <c:ptCount val="1"/>
                <c:pt idx="0">
                  <c:v>5304</c:v>
                </c:pt>
              </c:numCache>
            </c:numRef>
          </c:val>
        </c:ser>
        <c:ser>
          <c:idx val="1"/>
          <c:order val="1"/>
          <c:invertIfNegative val="0"/>
          <c:dLbls>
            <c:dLbl>
              <c:idx val="0"/>
              <c:layout>
                <c:manualLayout>
                  <c:x val="0"/>
                  <c:y val="-0.16401350076485824"/>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'2013 - Ciclo de Operação'!$I$7</c:f>
              <c:numCache>
                <c:formatCode>General</c:formatCode>
                <c:ptCount val="1"/>
                <c:pt idx="0">
                  <c:v>168</c:v>
                </c:pt>
              </c:numCache>
            </c:numRef>
          </c:val>
        </c:ser>
        <c:ser>
          <c:idx val="2"/>
          <c:order val="2"/>
          <c:invertIfNegative val="0"/>
          <c:dLbls>
            <c:showLegendKey val="0"/>
            <c:showVal val="1"/>
            <c:showCatName val="0"/>
            <c:showSerName val="0"/>
            <c:showPercent val="0"/>
            <c:showBubbleSize val="0"/>
            <c:showLeaderLines val="0"/>
          </c:dLbls>
          <c:val>
            <c:numRef>
              <c:f>'2013 - Ciclo de Operação'!$B$8</c:f>
              <c:numCache>
                <c:formatCode>0</c:formatCode>
                <c:ptCount val="1"/>
                <c:pt idx="0">
                  <c:v>3336</c:v>
                </c:pt>
              </c:numCache>
            </c:numRef>
          </c:val>
        </c:ser>
        <c:dLbls>
          <c:showLegendKey val="0"/>
          <c:showVal val="0"/>
          <c:showCatName val="0"/>
          <c:showSerName val="0"/>
          <c:showPercent val="0"/>
          <c:showBubbleSize val="0"/>
        </c:dLbls>
        <c:gapWidth val="150"/>
        <c:overlap val="100"/>
        <c:axId val="111111552"/>
        <c:axId val="111113344"/>
      </c:barChart>
      <c:catAx>
        <c:axId val="111111552"/>
        <c:scaling>
          <c:orientation val="minMax"/>
        </c:scaling>
        <c:delete val="1"/>
        <c:axPos val="l"/>
        <c:majorTickMark val="out"/>
        <c:minorTickMark val="none"/>
        <c:tickLblPos val="nextTo"/>
        <c:crossAx val="111113344"/>
        <c:crosses val="autoZero"/>
        <c:auto val="1"/>
        <c:lblAlgn val="ctr"/>
        <c:lblOffset val="100"/>
        <c:noMultiLvlLbl val="0"/>
      </c:catAx>
      <c:valAx>
        <c:axId val="111113344"/>
        <c:scaling>
          <c:orientation val="minMax"/>
        </c:scaling>
        <c:delete val="1"/>
        <c:axPos val="b"/>
        <c:numFmt formatCode="0" sourceLinked="1"/>
        <c:majorTickMark val="out"/>
        <c:minorTickMark val="none"/>
        <c:tickLblPos val="nextTo"/>
        <c:crossAx val="111111552"/>
        <c:crosses val="autoZero"/>
        <c:crossBetween val="between"/>
      </c:valAx>
      <c:spPr>
        <a:noFill/>
        <a:ln w="25400">
          <a:noFill/>
        </a:ln>
      </c:spPr>
    </c:plotArea>
    <c:plotVisOnly val="1"/>
    <c:dispBlanksAs val="gap"/>
    <c:showDLblsOverMax val="0"/>
  </c:chart>
  <c:printSettings>
    <c:headerFooter/>
    <c:pageMargins b="0.75" l="0.7" r="0.7" t="0.75" header="0.3" footer="0.3"/>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Total de avarias Incinerador 3</c:v>
          </c:tx>
          <c:invertIfNegative val="0"/>
          <c:dLbls>
            <c:numFmt formatCode="#,##0;\-#,##0" sourceLinked="0"/>
            <c:txPr>
              <a:bodyPr/>
              <a:lstStyle/>
              <a:p>
                <a:pPr>
                  <a:defRPr b="1"/>
                </a:pPr>
                <a:endParaRPr lang="pt-PT"/>
              </a:p>
            </c:txPr>
            <c:showLegendKey val="0"/>
            <c:showVal val="1"/>
            <c:showCatName val="0"/>
            <c:showSerName val="0"/>
            <c:showPercent val="0"/>
            <c:showBubbleSize val="0"/>
            <c:showLeaderLines val="0"/>
          </c:dLbls>
          <c:cat>
            <c:numRef>
              <c:f>'2015 - Gráficos'!$F$14:$F$19</c:f>
              <c:numCache>
                <c:formatCode>General</c:formatCode>
                <c:ptCount val="6"/>
                <c:pt idx="0">
                  <c:v>28</c:v>
                </c:pt>
                <c:pt idx="1">
                  <c:v>65</c:v>
                </c:pt>
                <c:pt idx="2">
                  <c:v>90</c:v>
                </c:pt>
                <c:pt idx="3">
                  <c:v>199</c:v>
                </c:pt>
                <c:pt idx="4">
                  <c:v>214</c:v>
                </c:pt>
                <c:pt idx="5">
                  <c:v>323</c:v>
                </c:pt>
              </c:numCache>
            </c:numRef>
          </c:cat>
          <c:val>
            <c:numRef>
              <c:f>'2015 - Gráficos'!$G$14:$G$19</c:f>
              <c:numCache>
                <c:formatCode>0</c:formatCode>
                <c:ptCount val="6"/>
                <c:pt idx="0">
                  <c:v>1</c:v>
                </c:pt>
                <c:pt idx="1">
                  <c:v>1</c:v>
                </c:pt>
                <c:pt idx="2">
                  <c:v>1</c:v>
                </c:pt>
                <c:pt idx="3">
                  <c:v>1</c:v>
                </c:pt>
                <c:pt idx="4">
                  <c:v>1</c:v>
                </c:pt>
                <c:pt idx="5">
                  <c:v>1</c:v>
                </c:pt>
              </c:numCache>
            </c:numRef>
          </c:val>
        </c:ser>
        <c:dLbls>
          <c:showLegendKey val="0"/>
          <c:showVal val="0"/>
          <c:showCatName val="0"/>
          <c:showSerName val="0"/>
          <c:showPercent val="0"/>
          <c:showBubbleSize val="0"/>
        </c:dLbls>
        <c:gapWidth val="300"/>
        <c:axId val="99008896"/>
        <c:axId val="99010432"/>
      </c:barChart>
      <c:catAx>
        <c:axId val="99008896"/>
        <c:scaling>
          <c:orientation val="minMax"/>
        </c:scaling>
        <c:delete val="0"/>
        <c:axPos val="b"/>
        <c:numFmt formatCode="General" sourceLinked="1"/>
        <c:majorTickMark val="none"/>
        <c:minorTickMark val="none"/>
        <c:tickLblPos val="nextTo"/>
        <c:crossAx val="99010432"/>
        <c:crosses val="autoZero"/>
        <c:auto val="1"/>
        <c:lblAlgn val="ctr"/>
        <c:lblOffset val="100"/>
        <c:noMultiLvlLbl val="0"/>
      </c:catAx>
      <c:valAx>
        <c:axId val="99010432"/>
        <c:scaling>
          <c:orientation val="minMax"/>
        </c:scaling>
        <c:delete val="0"/>
        <c:axPos val="l"/>
        <c:majorGridlines/>
        <c:minorGridlines/>
        <c:numFmt formatCode="0" sourceLinked="1"/>
        <c:majorTickMark val="out"/>
        <c:minorTickMark val="none"/>
        <c:tickLblPos val="nextTo"/>
        <c:crossAx val="99008896"/>
        <c:crosses val="autoZero"/>
        <c:crossBetween val="between"/>
      </c:valAx>
    </c:plotArea>
    <c:legend>
      <c:legendPos val="r"/>
      <c:layout/>
      <c:overlay val="0"/>
    </c:legend>
    <c:plotVisOnly val="1"/>
    <c:dispBlanksAs val="gap"/>
    <c:showDLblsOverMax val="0"/>
  </c:chart>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42"/>
    </mc:Choice>
    <mc:Fallback>
      <c:style val="42"/>
    </mc:Fallback>
  </mc:AlternateContent>
  <c:chart>
    <c:title>
      <c:tx>
        <c:rich>
          <a:bodyPr/>
          <a:lstStyle/>
          <a:p>
            <a:pPr>
              <a:defRPr/>
            </a:pPr>
            <a:r>
              <a:rPr lang="en-US"/>
              <a:t>Combustivel</a:t>
            </a:r>
            <a:r>
              <a:rPr lang="en-US" baseline="0"/>
              <a:t> fossil</a:t>
            </a:r>
            <a:r>
              <a:rPr lang="en-US"/>
              <a:t> 41 - Precipitador</a:t>
            </a:r>
          </a:p>
        </c:rich>
      </c:tx>
      <c:layout/>
      <c:overlay val="0"/>
    </c:title>
    <c:autoTitleDeleted val="0"/>
    <c:plotArea>
      <c:layout>
        <c:manualLayout>
          <c:layoutTarget val="inner"/>
          <c:xMode val="edge"/>
          <c:yMode val="edge"/>
          <c:x val="2.4691358024691357E-2"/>
          <c:y val="0.32444484748597435"/>
          <c:w val="0.95286195286195285"/>
          <c:h val="0.55961308824621336"/>
        </c:manualLayout>
      </c:layout>
      <c:barChart>
        <c:barDir val="bar"/>
        <c:grouping val="stacked"/>
        <c:varyColors val="0"/>
        <c:ser>
          <c:idx val="0"/>
          <c:order val="0"/>
          <c:invertIfNegative val="0"/>
          <c:dLbls>
            <c:showLegendKey val="0"/>
            <c:showVal val="1"/>
            <c:showCatName val="0"/>
            <c:showSerName val="0"/>
            <c:showPercent val="0"/>
            <c:showBubbleSize val="0"/>
            <c:showLeaderLines val="0"/>
          </c:dLbls>
          <c:val>
            <c:numRef>
              <c:f>'2013 - Ciclo de Operação'!$B$9</c:f>
              <c:numCache>
                <c:formatCode>0</c:formatCode>
                <c:ptCount val="1"/>
                <c:pt idx="0">
                  <c:v>552</c:v>
                </c:pt>
              </c:numCache>
            </c:numRef>
          </c:val>
        </c:ser>
        <c:ser>
          <c:idx val="1"/>
          <c:order val="1"/>
          <c:invertIfNegative val="0"/>
          <c:dLbls>
            <c:dLbl>
              <c:idx val="0"/>
              <c:layout>
                <c:manualLayout>
                  <c:x val="0"/>
                  <c:y val="-0.17221417580310114"/>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'2013 - Ciclo de Operação'!$I$9</c:f>
              <c:numCache>
                <c:formatCode>General</c:formatCode>
                <c:ptCount val="1"/>
                <c:pt idx="0">
                  <c:v>2</c:v>
                </c:pt>
              </c:numCache>
            </c:numRef>
          </c:val>
        </c:ser>
        <c:ser>
          <c:idx val="2"/>
          <c:order val="2"/>
          <c:invertIfNegative val="0"/>
          <c:dLbls>
            <c:showLegendKey val="0"/>
            <c:showVal val="1"/>
            <c:showCatName val="0"/>
            <c:showSerName val="0"/>
            <c:showPercent val="0"/>
            <c:showBubbleSize val="0"/>
            <c:showLeaderLines val="0"/>
          </c:dLbls>
          <c:val>
            <c:numRef>
              <c:f>'2013 - Ciclo de Operação'!$B$10</c:f>
              <c:numCache>
                <c:formatCode>0</c:formatCode>
                <c:ptCount val="1"/>
                <c:pt idx="0">
                  <c:v>8088</c:v>
                </c:pt>
              </c:numCache>
            </c:numRef>
          </c:val>
        </c:ser>
        <c:dLbls>
          <c:showLegendKey val="0"/>
          <c:showVal val="0"/>
          <c:showCatName val="0"/>
          <c:showSerName val="0"/>
          <c:showPercent val="0"/>
          <c:showBubbleSize val="0"/>
        </c:dLbls>
        <c:gapWidth val="150"/>
        <c:overlap val="100"/>
        <c:axId val="111169920"/>
        <c:axId val="111171456"/>
      </c:barChart>
      <c:catAx>
        <c:axId val="111169920"/>
        <c:scaling>
          <c:orientation val="minMax"/>
        </c:scaling>
        <c:delete val="1"/>
        <c:axPos val="l"/>
        <c:majorTickMark val="out"/>
        <c:minorTickMark val="none"/>
        <c:tickLblPos val="nextTo"/>
        <c:crossAx val="111171456"/>
        <c:crosses val="autoZero"/>
        <c:auto val="1"/>
        <c:lblAlgn val="ctr"/>
        <c:lblOffset val="100"/>
        <c:noMultiLvlLbl val="0"/>
      </c:catAx>
      <c:valAx>
        <c:axId val="111171456"/>
        <c:scaling>
          <c:orientation val="minMax"/>
        </c:scaling>
        <c:delete val="1"/>
        <c:axPos val="b"/>
        <c:numFmt formatCode="0" sourceLinked="1"/>
        <c:majorTickMark val="out"/>
        <c:minorTickMark val="none"/>
        <c:tickLblPos val="nextTo"/>
        <c:crossAx val="111169920"/>
        <c:crosses val="autoZero"/>
        <c:crossBetween val="between"/>
      </c:valAx>
      <c:spPr>
        <a:noFill/>
        <a:ln w="25400">
          <a:noFill/>
        </a:ln>
      </c:spPr>
    </c:plotArea>
    <c:plotVisOnly val="1"/>
    <c:dispBlanksAs val="gap"/>
    <c:showDLblsOverMax val="0"/>
  </c:chart>
  <c:printSettings>
    <c:headerFooter/>
    <c:pageMargins b="0.75" l="0.7" r="0.7" t="0.75" header="0.3" footer="0.3"/>
    <c:pageSetup/>
  </c:printSettings>
  <c:userShapes r:id="rId1"/>
</c:chartSpace>
</file>

<file path=xl/charts/chart41.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42"/>
    </mc:Choice>
    <mc:Fallback>
      <c:style val="42"/>
    </mc:Fallback>
  </mc:AlternateContent>
  <c:chart>
    <c:title>
      <c:tx>
        <c:rich>
          <a:bodyPr/>
          <a:lstStyle/>
          <a:p>
            <a:pPr>
              <a:defRPr/>
            </a:pPr>
            <a:r>
              <a:rPr lang="en-US"/>
              <a:t>Incinerador 2 - Alimentação</a:t>
            </a:r>
          </a:p>
        </c:rich>
      </c:tx>
      <c:layout/>
      <c:overlay val="0"/>
    </c:title>
    <c:autoTitleDeleted val="0"/>
    <c:plotArea>
      <c:layout>
        <c:manualLayout>
          <c:layoutTarget val="inner"/>
          <c:xMode val="edge"/>
          <c:yMode val="edge"/>
          <c:x val="2.4691358024691357E-2"/>
          <c:y val="0.32444484748597435"/>
          <c:w val="0.95286195286195285"/>
          <c:h val="0.55961308824621336"/>
        </c:manualLayout>
      </c:layout>
      <c:barChart>
        <c:barDir val="bar"/>
        <c:grouping val="stacked"/>
        <c:varyColors val="0"/>
        <c:ser>
          <c:idx val="0"/>
          <c:order val="0"/>
          <c:invertIfNegative val="0"/>
          <c:dLbls>
            <c:showLegendKey val="0"/>
            <c:showVal val="1"/>
            <c:showCatName val="0"/>
            <c:showSerName val="0"/>
            <c:showPercent val="0"/>
            <c:showBubbleSize val="0"/>
            <c:showLeaderLines val="0"/>
          </c:dLbls>
          <c:val>
            <c:numRef>
              <c:f>'2013 - Ciclo de Operação'!$B$11</c:f>
              <c:numCache>
                <c:formatCode>0</c:formatCode>
                <c:ptCount val="1"/>
                <c:pt idx="0">
                  <c:v>3264</c:v>
                </c:pt>
              </c:numCache>
            </c:numRef>
          </c:val>
        </c:ser>
        <c:ser>
          <c:idx val="1"/>
          <c:order val="1"/>
          <c:invertIfNegative val="0"/>
          <c:dLbls>
            <c:dLbl>
              <c:idx val="0"/>
              <c:layout>
                <c:manualLayout>
                  <c:x val="0"/>
                  <c:y val="-0.16401350076485824"/>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'2013 - Ciclo de Operação'!$I$11</c:f>
              <c:numCache>
                <c:formatCode>General</c:formatCode>
                <c:ptCount val="1"/>
                <c:pt idx="0">
                  <c:v>2</c:v>
                </c:pt>
              </c:numCache>
            </c:numRef>
          </c:val>
        </c:ser>
        <c:ser>
          <c:idx val="2"/>
          <c:order val="2"/>
          <c:invertIfNegative val="0"/>
          <c:dLbls>
            <c:showLegendKey val="0"/>
            <c:showVal val="1"/>
            <c:showCatName val="0"/>
            <c:showSerName val="0"/>
            <c:showPercent val="0"/>
            <c:showBubbleSize val="0"/>
            <c:showLeaderLines val="0"/>
          </c:dLbls>
          <c:val>
            <c:numRef>
              <c:f>'2013 - Ciclo de Operação'!$B$12</c:f>
              <c:numCache>
                <c:formatCode>0</c:formatCode>
                <c:ptCount val="1"/>
                <c:pt idx="0">
                  <c:v>5376</c:v>
                </c:pt>
              </c:numCache>
            </c:numRef>
          </c:val>
        </c:ser>
        <c:dLbls>
          <c:showLegendKey val="0"/>
          <c:showVal val="0"/>
          <c:showCatName val="0"/>
          <c:showSerName val="0"/>
          <c:showPercent val="0"/>
          <c:showBubbleSize val="0"/>
        </c:dLbls>
        <c:gapWidth val="150"/>
        <c:overlap val="100"/>
        <c:axId val="111207552"/>
        <c:axId val="111209088"/>
      </c:barChart>
      <c:catAx>
        <c:axId val="111207552"/>
        <c:scaling>
          <c:orientation val="minMax"/>
        </c:scaling>
        <c:delete val="1"/>
        <c:axPos val="l"/>
        <c:majorTickMark val="out"/>
        <c:minorTickMark val="none"/>
        <c:tickLblPos val="nextTo"/>
        <c:crossAx val="111209088"/>
        <c:crosses val="autoZero"/>
        <c:auto val="1"/>
        <c:lblAlgn val="ctr"/>
        <c:lblOffset val="100"/>
        <c:noMultiLvlLbl val="0"/>
      </c:catAx>
      <c:valAx>
        <c:axId val="111209088"/>
        <c:scaling>
          <c:orientation val="minMax"/>
        </c:scaling>
        <c:delete val="1"/>
        <c:axPos val="b"/>
        <c:numFmt formatCode="0" sourceLinked="1"/>
        <c:majorTickMark val="out"/>
        <c:minorTickMark val="none"/>
        <c:tickLblPos val="nextTo"/>
        <c:crossAx val="111207552"/>
        <c:crosses val="autoZero"/>
        <c:crossBetween val="between"/>
      </c:valAx>
      <c:spPr>
        <a:noFill/>
        <a:ln w="25400">
          <a:noFill/>
        </a:ln>
      </c:spPr>
    </c:plotArea>
    <c:plotVisOnly val="1"/>
    <c:dispBlanksAs val="gap"/>
    <c:showDLblsOverMax val="0"/>
  </c:chart>
  <c:printSettings>
    <c:headerFooter/>
    <c:pageMargins b="0.75" l="0.7" r="0.7" t="0.75" header="0.3" footer="0.3"/>
    <c:pageSetup/>
  </c:printSettings>
  <c:userShapes r:id="rId1"/>
</c:chartSpace>
</file>

<file path=xl/charts/chart42.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42"/>
    </mc:Choice>
    <mc:Fallback>
      <c:style val="42"/>
    </mc:Fallback>
  </mc:AlternateContent>
  <c:chart>
    <c:title>
      <c:tx>
        <c:rich>
          <a:bodyPr/>
          <a:lstStyle/>
          <a:p>
            <a:pPr>
              <a:defRPr/>
            </a:pPr>
            <a:r>
              <a:rPr lang="en-US"/>
              <a:t>Incinerador 2 - Chaminé</a:t>
            </a:r>
          </a:p>
        </c:rich>
      </c:tx>
      <c:layout/>
      <c:overlay val="0"/>
    </c:title>
    <c:autoTitleDeleted val="0"/>
    <c:plotArea>
      <c:layout>
        <c:manualLayout>
          <c:layoutTarget val="inner"/>
          <c:xMode val="edge"/>
          <c:yMode val="edge"/>
          <c:x val="2.4691358024691357E-2"/>
          <c:y val="0.32444484748597435"/>
          <c:w val="0.95286195286195285"/>
          <c:h val="0.55961308824621336"/>
        </c:manualLayout>
      </c:layout>
      <c:barChart>
        <c:barDir val="bar"/>
        <c:grouping val="stacked"/>
        <c:varyColors val="0"/>
        <c:ser>
          <c:idx val="0"/>
          <c:order val="0"/>
          <c:invertIfNegative val="0"/>
          <c:dLbls>
            <c:showLegendKey val="0"/>
            <c:showVal val="1"/>
            <c:showCatName val="0"/>
            <c:showSerName val="0"/>
            <c:showPercent val="0"/>
            <c:showBubbleSize val="0"/>
            <c:showLeaderLines val="0"/>
          </c:dLbls>
          <c:val>
            <c:numRef>
              <c:f>'2013 - Ciclo de Operação'!$B$13</c:f>
              <c:numCache>
                <c:formatCode>0</c:formatCode>
                <c:ptCount val="1"/>
                <c:pt idx="0">
                  <c:v>3552</c:v>
                </c:pt>
              </c:numCache>
            </c:numRef>
          </c:val>
        </c:ser>
        <c:ser>
          <c:idx val="1"/>
          <c:order val="1"/>
          <c:invertIfNegative val="0"/>
          <c:dLbls>
            <c:dLbl>
              <c:idx val="0"/>
              <c:layout>
                <c:manualLayout>
                  <c:x val="-2.4531027597019732E-3"/>
                  <c:y val="-0.18041485084134407"/>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'2013 - Ciclo de Operação'!$I$13</c:f>
              <c:numCache>
                <c:formatCode>General</c:formatCode>
                <c:ptCount val="1"/>
                <c:pt idx="0">
                  <c:v>3</c:v>
                </c:pt>
              </c:numCache>
            </c:numRef>
          </c:val>
        </c:ser>
        <c:ser>
          <c:idx val="2"/>
          <c:order val="2"/>
          <c:invertIfNegative val="0"/>
          <c:dLbls>
            <c:showLegendKey val="0"/>
            <c:showVal val="1"/>
            <c:showCatName val="0"/>
            <c:showSerName val="0"/>
            <c:showPercent val="0"/>
            <c:showBubbleSize val="0"/>
            <c:showLeaderLines val="0"/>
          </c:dLbls>
          <c:val>
            <c:numRef>
              <c:f>'2013 - Ciclo de Operação'!$B$14</c:f>
              <c:numCache>
                <c:formatCode>0</c:formatCode>
                <c:ptCount val="1"/>
                <c:pt idx="0">
                  <c:v>5088</c:v>
                </c:pt>
              </c:numCache>
            </c:numRef>
          </c:val>
        </c:ser>
        <c:dLbls>
          <c:showLegendKey val="0"/>
          <c:showVal val="0"/>
          <c:showCatName val="0"/>
          <c:showSerName val="0"/>
          <c:showPercent val="0"/>
          <c:showBubbleSize val="0"/>
        </c:dLbls>
        <c:gapWidth val="150"/>
        <c:overlap val="100"/>
        <c:axId val="111859584"/>
        <c:axId val="111861120"/>
      </c:barChart>
      <c:catAx>
        <c:axId val="111859584"/>
        <c:scaling>
          <c:orientation val="minMax"/>
        </c:scaling>
        <c:delete val="1"/>
        <c:axPos val="l"/>
        <c:majorTickMark val="out"/>
        <c:minorTickMark val="none"/>
        <c:tickLblPos val="nextTo"/>
        <c:crossAx val="111861120"/>
        <c:crosses val="autoZero"/>
        <c:auto val="1"/>
        <c:lblAlgn val="ctr"/>
        <c:lblOffset val="100"/>
        <c:noMultiLvlLbl val="0"/>
      </c:catAx>
      <c:valAx>
        <c:axId val="111861120"/>
        <c:scaling>
          <c:orientation val="minMax"/>
        </c:scaling>
        <c:delete val="1"/>
        <c:axPos val="b"/>
        <c:numFmt formatCode="0" sourceLinked="1"/>
        <c:majorTickMark val="out"/>
        <c:minorTickMark val="none"/>
        <c:tickLblPos val="nextTo"/>
        <c:crossAx val="111859584"/>
        <c:crosses val="autoZero"/>
        <c:crossBetween val="between"/>
      </c:valAx>
      <c:spPr>
        <a:noFill/>
        <a:ln w="25400">
          <a:noFill/>
        </a:ln>
      </c:spPr>
    </c:plotArea>
    <c:plotVisOnly val="1"/>
    <c:dispBlanksAs val="gap"/>
    <c:showDLblsOverMax val="0"/>
  </c:chart>
  <c:printSettings>
    <c:headerFooter/>
    <c:pageMargins b="0.75" l="0.7" r="0.7" t="0.75" header="0.3" footer="0.3"/>
    <c:pageSetup/>
  </c:printSettings>
  <c:userShapes r:id="rId1"/>
</c:chartSpace>
</file>

<file path=xl/charts/chart43.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42"/>
    </mc:Choice>
    <mc:Fallback>
      <c:style val="42"/>
    </mc:Fallback>
  </mc:AlternateContent>
  <c:chart>
    <c:title>
      <c:tx>
        <c:rich>
          <a:bodyPr/>
          <a:lstStyle/>
          <a:p>
            <a:pPr>
              <a:defRPr/>
            </a:pPr>
            <a:r>
              <a:rPr lang="en-US"/>
              <a:t>Incinerador 3 - Secador</a:t>
            </a:r>
          </a:p>
        </c:rich>
      </c:tx>
      <c:layout/>
      <c:overlay val="0"/>
    </c:title>
    <c:autoTitleDeleted val="0"/>
    <c:plotArea>
      <c:layout>
        <c:manualLayout>
          <c:layoutTarget val="inner"/>
          <c:xMode val="edge"/>
          <c:yMode val="edge"/>
          <c:x val="2.4691358024691357E-2"/>
          <c:y val="0.32444484748597435"/>
          <c:w val="0.95286195286195285"/>
          <c:h val="0.55961308824621336"/>
        </c:manualLayout>
      </c:layout>
      <c:barChart>
        <c:barDir val="bar"/>
        <c:grouping val="stacked"/>
        <c:varyColors val="0"/>
        <c:ser>
          <c:idx val="0"/>
          <c:order val="0"/>
          <c:invertIfNegative val="0"/>
          <c:dLbls>
            <c:showLegendKey val="0"/>
            <c:showVal val="1"/>
            <c:showCatName val="0"/>
            <c:showSerName val="0"/>
            <c:showPercent val="0"/>
            <c:showBubbleSize val="0"/>
            <c:showLeaderLines val="0"/>
          </c:dLbls>
          <c:val>
            <c:numRef>
              <c:f>'2013 - Ciclo de Operação'!$B$15</c:f>
              <c:numCache>
                <c:formatCode>0</c:formatCode>
                <c:ptCount val="1"/>
                <c:pt idx="0">
                  <c:v>1776</c:v>
                </c:pt>
              </c:numCache>
            </c:numRef>
          </c:val>
        </c:ser>
        <c:ser>
          <c:idx val="1"/>
          <c:order val="1"/>
          <c:invertIfNegative val="0"/>
          <c:dLbls>
            <c:dLbl>
              <c:idx val="0"/>
              <c:layout>
                <c:manualLayout>
                  <c:x val="-2.2486511187679094E-17"/>
                  <c:y val="-0.16401350076485824"/>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'2013 - Ciclo de Operação'!$I$15</c:f>
              <c:numCache>
                <c:formatCode>General</c:formatCode>
                <c:ptCount val="1"/>
                <c:pt idx="0">
                  <c:v>12</c:v>
                </c:pt>
              </c:numCache>
            </c:numRef>
          </c:val>
        </c:ser>
        <c:ser>
          <c:idx val="2"/>
          <c:order val="2"/>
          <c:invertIfNegative val="0"/>
          <c:dLbls>
            <c:showLegendKey val="0"/>
            <c:showVal val="1"/>
            <c:showCatName val="0"/>
            <c:showSerName val="0"/>
            <c:showPercent val="0"/>
            <c:showBubbleSize val="0"/>
            <c:showLeaderLines val="0"/>
          </c:dLbls>
          <c:val>
            <c:numRef>
              <c:f>'2013 - Ciclo de Operação'!$B$16</c:f>
              <c:numCache>
                <c:formatCode>0</c:formatCode>
                <c:ptCount val="1"/>
                <c:pt idx="0">
                  <c:v>6864</c:v>
                </c:pt>
              </c:numCache>
            </c:numRef>
          </c:val>
        </c:ser>
        <c:dLbls>
          <c:showLegendKey val="0"/>
          <c:showVal val="0"/>
          <c:showCatName val="0"/>
          <c:showSerName val="0"/>
          <c:showPercent val="0"/>
          <c:showBubbleSize val="0"/>
        </c:dLbls>
        <c:gapWidth val="150"/>
        <c:overlap val="100"/>
        <c:axId val="111573632"/>
        <c:axId val="111583616"/>
      </c:barChart>
      <c:catAx>
        <c:axId val="111573632"/>
        <c:scaling>
          <c:orientation val="minMax"/>
        </c:scaling>
        <c:delete val="1"/>
        <c:axPos val="l"/>
        <c:majorTickMark val="out"/>
        <c:minorTickMark val="none"/>
        <c:tickLblPos val="nextTo"/>
        <c:crossAx val="111583616"/>
        <c:crosses val="autoZero"/>
        <c:auto val="1"/>
        <c:lblAlgn val="ctr"/>
        <c:lblOffset val="100"/>
        <c:noMultiLvlLbl val="0"/>
      </c:catAx>
      <c:valAx>
        <c:axId val="111583616"/>
        <c:scaling>
          <c:orientation val="minMax"/>
        </c:scaling>
        <c:delete val="1"/>
        <c:axPos val="b"/>
        <c:numFmt formatCode="0" sourceLinked="1"/>
        <c:majorTickMark val="out"/>
        <c:minorTickMark val="none"/>
        <c:tickLblPos val="nextTo"/>
        <c:crossAx val="111573632"/>
        <c:crosses val="autoZero"/>
        <c:crossBetween val="between"/>
      </c:valAx>
      <c:spPr>
        <a:noFill/>
        <a:ln w="25400">
          <a:noFill/>
        </a:ln>
      </c:spPr>
    </c:plotArea>
    <c:plotVisOnly val="1"/>
    <c:dispBlanksAs val="gap"/>
    <c:showDLblsOverMax val="0"/>
  </c:chart>
  <c:printSettings>
    <c:headerFooter/>
    <c:pageMargins b="0.75" l="0.7" r="0.7" t="0.75" header="0.3" footer="0.3"/>
    <c:pageSetup/>
  </c:printSettings>
  <c:userShapes r:id="rId1"/>
</c:chartSpace>
</file>

<file path=xl/charts/chart44.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42"/>
    </mc:Choice>
    <mc:Fallback>
      <c:style val="42"/>
    </mc:Fallback>
  </mc:AlternateContent>
  <c:chart>
    <c:title>
      <c:tx>
        <c:rich>
          <a:bodyPr/>
          <a:lstStyle/>
          <a:p>
            <a:pPr>
              <a:defRPr/>
            </a:pPr>
            <a:r>
              <a:rPr lang="en-US"/>
              <a:t>Incinerador 3 - Alimentação</a:t>
            </a:r>
          </a:p>
        </c:rich>
      </c:tx>
      <c:layout/>
      <c:overlay val="0"/>
    </c:title>
    <c:autoTitleDeleted val="0"/>
    <c:plotArea>
      <c:layout>
        <c:manualLayout>
          <c:layoutTarget val="inner"/>
          <c:xMode val="edge"/>
          <c:yMode val="edge"/>
          <c:x val="2.4691358024691357E-2"/>
          <c:y val="0.32444484748597435"/>
          <c:w val="0.95286195286195285"/>
          <c:h val="0.55961308824621336"/>
        </c:manualLayout>
      </c:layout>
      <c:barChart>
        <c:barDir val="bar"/>
        <c:grouping val="stacked"/>
        <c:varyColors val="0"/>
        <c:ser>
          <c:idx val="0"/>
          <c:order val="0"/>
          <c:invertIfNegative val="0"/>
          <c:dLbls>
            <c:dLbl>
              <c:idx val="0"/>
              <c:layout>
                <c:manualLayout>
                  <c:x val="0"/>
                  <c:y val="-5.7404725267700379E-2"/>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'2013 - Ciclo de Operação'!$B$17</c:f>
              <c:numCache>
                <c:formatCode>0</c:formatCode>
                <c:ptCount val="1"/>
                <c:pt idx="0">
                  <c:v>552</c:v>
                </c:pt>
              </c:numCache>
            </c:numRef>
          </c:val>
        </c:ser>
        <c:ser>
          <c:idx val="1"/>
          <c:order val="1"/>
          <c:invertIfNegative val="0"/>
          <c:dLbls>
            <c:dLbl>
              <c:idx val="0"/>
              <c:layout>
                <c:manualLayout>
                  <c:x val="0"/>
                  <c:y val="-0.15581282572661531"/>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'2013 - Ciclo de Operação'!$I$17</c:f>
              <c:numCache>
                <c:formatCode>General</c:formatCode>
                <c:ptCount val="1"/>
                <c:pt idx="0">
                  <c:v>0.5</c:v>
                </c:pt>
              </c:numCache>
            </c:numRef>
          </c:val>
        </c:ser>
        <c:ser>
          <c:idx val="2"/>
          <c:order val="2"/>
          <c:invertIfNegative val="0"/>
          <c:dLbls>
            <c:dLbl>
              <c:idx val="0"/>
              <c:layout>
                <c:manualLayout>
                  <c:x val="-2.8017173187776515E-18"/>
                  <c:y val="4.100337519121456E-2"/>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'2013 - Ciclo de Operação'!$B$18</c:f>
              <c:numCache>
                <c:formatCode>0</c:formatCode>
                <c:ptCount val="1"/>
                <c:pt idx="0">
                  <c:v>1200</c:v>
                </c:pt>
              </c:numCache>
            </c:numRef>
          </c:val>
        </c:ser>
        <c:ser>
          <c:idx val="3"/>
          <c:order val="3"/>
          <c:invertIfNegative val="0"/>
          <c:dLbls>
            <c:dLbl>
              <c:idx val="0"/>
              <c:layout>
                <c:manualLayout>
                  <c:x val="0"/>
                  <c:y val="-0.15581282572661531"/>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'2013 - Ciclo de Operação'!$I$18</c:f>
              <c:numCache>
                <c:formatCode>General</c:formatCode>
                <c:ptCount val="1"/>
                <c:pt idx="0">
                  <c:v>2</c:v>
                </c:pt>
              </c:numCache>
            </c:numRef>
          </c:val>
        </c:ser>
        <c:ser>
          <c:idx val="4"/>
          <c:order val="4"/>
          <c:invertIfNegative val="0"/>
          <c:dLbls>
            <c:dLbl>
              <c:idx val="0"/>
              <c:layout>
                <c:manualLayout>
                  <c:x val="-2.4451633609790819E-3"/>
                  <c:y val="-4.100337519121456E-2"/>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'2013 - Ciclo de Operação'!$B$19</c:f>
              <c:numCache>
                <c:formatCode>0</c:formatCode>
                <c:ptCount val="1"/>
                <c:pt idx="0">
                  <c:v>360</c:v>
                </c:pt>
              </c:numCache>
            </c:numRef>
          </c:val>
        </c:ser>
        <c:ser>
          <c:idx val="5"/>
          <c:order val="5"/>
          <c:invertIfNegative val="0"/>
          <c:dLbls>
            <c:dLbl>
              <c:idx val="0"/>
              <c:layout>
                <c:manualLayout>
                  <c:x val="0"/>
                  <c:y val="-0.15581282572661531"/>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'2013 - Ciclo de Operação'!$I$19</c:f>
              <c:numCache>
                <c:formatCode>General</c:formatCode>
                <c:ptCount val="1"/>
                <c:pt idx="0">
                  <c:v>1</c:v>
                </c:pt>
              </c:numCache>
            </c:numRef>
          </c:val>
        </c:ser>
        <c:ser>
          <c:idx val="6"/>
          <c:order val="6"/>
          <c:invertIfNegative val="0"/>
          <c:dLbls>
            <c:dLbl>
              <c:idx val="0"/>
              <c:layout>
                <c:manualLayout>
                  <c:x val="0"/>
                  <c:y val="4.100337519121456E-2"/>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'2013 - Ciclo de Operação'!$B$20</c:f>
              <c:numCache>
                <c:formatCode>0</c:formatCode>
                <c:ptCount val="1"/>
                <c:pt idx="0">
                  <c:v>72</c:v>
                </c:pt>
              </c:numCache>
            </c:numRef>
          </c:val>
        </c:ser>
        <c:ser>
          <c:idx val="7"/>
          <c:order val="7"/>
          <c:invertIfNegative val="0"/>
          <c:dLbls>
            <c:dLbl>
              <c:idx val="0"/>
              <c:layout>
                <c:manualLayout>
                  <c:x val="-2.4417188624127504E-3"/>
                  <c:y val="-0.15581282572661531"/>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'2013 - Ciclo de Operação'!$I$20</c:f>
              <c:numCache>
                <c:formatCode>General</c:formatCode>
                <c:ptCount val="1"/>
                <c:pt idx="0">
                  <c:v>1</c:v>
                </c:pt>
              </c:numCache>
            </c:numRef>
          </c:val>
        </c:ser>
        <c:ser>
          <c:idx val="8"/>
          <c:order val="8"/>
          <c:invertIfNegative val="0"/>
          <c:dLbls>
            <c:showLegendKey val="0"/>
            <c:showVal val="1"/>
            <c:showCatName val="0"/>
            <c:showSerName val="0"/>
            <c:showPercent val="0"/>
            <c:showBubbleSize val="0"/>
            <c:showLeaderLines val="0"/>
          </c:dLbls>
          <c:val>
            <c:numRef>
              <c:f>'2013 - Ciclo de Operação'!$B$21</c:f>
              <c:numCache>
                <c:formatCode>0</c:formatCode>
                <c:ptCount val="1"/>
                <c:pt idx="0">
                  <c:v>3480</c:v>
                </c:pt>
              </c:numCache>
            </c:numRef>
          </c:val>
        </c:ser>
        <c:ser>
          <c:idx val="9"/>
          <c:order val="9"/>
          <c:invertIfNegative val="0"/>
          <c:dLbls>
            <c:dLbl>
              <c:idx val="0"/>
              <c:layout>
                <c:manualLayout>
                  <c:x val="0"/>
                  <c:y val="-0.15581282572661531"/>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'2013 - Ciclo de Operação'!$I$21</c:f>
              <c:numCache>
                <c:formatCode>General</c:formatCode>
                <c:ptCount val="1"/>
                <c:pt idx="0">
                  <c:v>2</c:v>
                </c:pt>
              </c:numCache>
            </c:numRef>
          </c:val>
        </c:ser>
        <c:ser>
          <c:idx val="10"/>
          <c:order val="10"/>
          <c:invertIfNegative val="0"/>
          <c:dLbls>
            <c:showLegendKey val="0"/>
            <c:showVal val="1"/>
            <c:showCatName val="0"/>
            <c:showSerName val="0"/>
            <c:showPercent val="0"/>
            <c:showBubbleSize val="0"/>
            <c:showLeaderLines val="0"/>
          </c:dLbls>
          <c:val>
            <c:numRef>
              <c:f>'2013 - Ciclo de Operação'!$B$22</c:f>
              <c:numCache>
                <c:formatCode>0</c:formatCode>
                <c:ptCount val="1"/>
                <c:pt idx="0">
                  <c:v>1152</c:v>
                </c:pt>
              </c:numCache>
            </c:numRef>
          </c:val>
        </c:ser>
        <c:ser>
          <c:idx val="11"/>
          <c:order val="11"/>
          <c:invertIfNegative val="0"/>
          <c:dLbls>
            <c:dLbl>
              <c:idx val="0"/>
              <c:layout>
                <c:manualLayout>
                  <c:x val="0"/>
                  <c:y val="-0.15581282572661531"/>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'2013 - Ciclo de Operação'!$I$22</c:f>
              <c:numCache>
                <c:formatCode>General</c:formatCode>
                <c:ptCount val="1"/>
                <c:pt idx="0">
                  <c:v>1</c:v>
                </c:pt>
              </c:numCache>
            </c:numRef>
          </c:val>
        </c:ser>
        <c:ser>
          <c:idx val="12"/>
          <c:order val="12"/>
          <c:invertIfNegative val="0"/>
          <c:dLbls>
            <c:showLegendKey val="0"/>
            <c:showVal val="1"/>
            <c:showCatName val="0"/>
            <c:showSerName val="0"/>
            <c:showPercent val="0"/>
            <c:showBubbleSize val="0"/>
            <c:showLeaderLines val="0"/>
          </c:dLbls>
          <c:val>
            <c:numRef>
              <c:f>'2013 - Ciclo de Operação'!$B$23</c:f>
              <c:numCache>
                <c:formatCode>0</c:formatCode>
                <c:ptCount val="1"/>
                <c:pt idx="0">
                  <c:v>120</c:v>
                </c:pt>
              </c:numCache>
            </c:numRef>
          </c:val>
        </c:ser>
        <c:ser>
          <c:idx val="13"/>
          <c:order val="13"/>
          <c:invertIfNegative val="0"/>
          <c:dLbls>
            <c:dLbl>
              <c:idx val="0"/>
              <c:layout>
                <c:manualLayout>
                  <c:x val="0"/>
                  <c:y val="-0.15581282572661531"/>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'2013 - Ciclo de Operação'!$I$23</c:f>
              <c:numCache>
                <c:formatCode>General</c:formatCode>
                <c:ptCount val="1"/>
                <c:pt idx="0">
                  <c:v>2.5</c:v>
                </c:pt>
              </c:numCache>
            </c:numRef>
          </c:val>
        </c:ser>
        <c:ser>
          <c:idx val="14"/>
          <c:order val="14"/>
          <c:invertIfNegative val="0"/>
          <c:dLbls>
            <c:showLegendKey val="0"/>
            <c:showVal val="1"/>
            <c:showCatName val="0"/>
            <c:showSerName val="0"/>
            <c:showPercent val="0"/>
            <c:showBubbleSize val="0"/>
            <c:showLeaderLines val="0"/>
          </c:dLbls>
          <c:val>
            <c:numRef>
              <c:f>'2013 - Ciclo de Operação'!$B$24</c:f>
              <c:numCache>
                <c:formatCode>0</c:formatCode>
                <c:ptCount val="1"/>
                <c:pt idx="0">
                  <c:v>24</c:v>
                </c:pt>
              </c:numCache>
            </c:numRef>
          </c:val>
        </c:ser>
        <c:ser>
          <c:idx val="15"/>
          <c:order val="15"/>
          <c:invertIfNegative val="0"/>
          <c:dLbls>
            <c:dLbl>
              <c:idx val="0"/>
              <c:layout>
                <c:manualLayout>
                  <c:x val="0"/>
                  <c:y val="-0.16401350076485824"/>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'2013 - Ciclo de Operação'!$I$24</c:f>
              <c:numCache>
                <c:formatCode>General</c:formatCode>
                <c:ptCount val="1"/>
                <c:pt idx="0">
                  <c:v>2</c:v>
                </c:pt>
              </c:numCache>
            </c:numRef>
          </c:val>
        </c:ser>
        <c:ser>
          <c:idx val="16"/>
          <c:order val="16"/>
          <c:invertIfNegative val="0"/>
          <c:dLbls>
            <c:showLegendKey val="0"/>
            <c:showVal val="1"/>
            <c:showCatName val="0"/>
            <c:showSerName val="0"/>
            <c:showPercent val="0"/>
            <c:showBubbleSize val="0"/>
            <c:showLeaderLines val="0"/>
          </c:dLbls>
          <c:val>
            <c:numRef>
              <c:f>'2013 - Ciclo de Operação'!$B$25</c:f>
              <c:numCache>
                <c:formatCode>0</c:formatCode>
                <c:ptCount val="1"/>
                <c:pt idx="0">
                  <c:v>1176</c:v>
                </c:pt>
              </c:numCache>
            </c:numRef>
          </c:val>
        </c:ser>
        <c:ser>
          <c:idx val="17"/>
          <c:order val="17"/>
          <c:invertIfNegative val="0"/>
          <c:dLbls>
            <c:dLbl>
              <c:idx val="0"/>
              <c:layout>
                <c:manualLayout>
                  <c:x val="-2.4417188624128844E-3"/>
                  <c:y val="-0.16401350076485824"/>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'2013 - Ciclo de Operação'!$I$25</c:f>
              <c:numCache>
                <c:formatCode>General</c:formatCode>
                <c:ptCount val="1"/>
                <c:pt idx="0">
                  <c:v>0.5</c:v>
                </c:pt>
              </c:numCache>
            </c:numRef>
          </c:val>
        </c:ser>
        <c:ser>
          <c:idx val="18"/>
          <c:order val="18"/>
          <c:invertIfNegative val="0"/>
          <c:dLbls>
            <c:showLegendKey val="0"/>
            <c:showVal val="1"/>
            <c:showCatName val="0"/>
            <c:showSerName val="0"/>
            <c:showPercent val="0"/>
            <c:showBubbleSize val="0"/>
            <c:showLeaderLines val="0"/>
          </c:dLbls>
          <c:val>
            <c:numRef>
              <c:f>'2013 - Ciclo de Operação'!$B$26</c:f>
              <c:numCache>
                <c:formatCode>0</c:formatCode>
                <c:ptCount val="1"/>
                <c:pt idx="0">
                  <c:v>504</c:v>
                </c:pt>
              </c:numCache>
            </c:numRef>
          </c:val>
        </c:ser>
        <c:dLbls>
          <c:showLegendKey val="0"/>
          <c:showVal val="0"/>
          <c:showCatName val="0"/>
          <c:showSerName val="0"/>
          <c:showPercent val="0"/>
          <c:showBubbleSize val="0"/>
        </c:dLbls>
        <c:gapWidth val="150"/>
        <c:overlap val="100"/>
        <c:axId val="111737472"/>
        <c:axId val="111759744"/>
      </c:barChart>
      <c:catAx>
        <c:axId val="111737472"/>
        <c:scaling>
          <c:orientation val="minMax"/>
        </c:scaling>
        <c:delete val="1"/>
        <c:axPos val="l"/>
        <c:majorTickMark val="out"/>
        <c:minorTickMark val="none"/>
        <c:tickLblPos val="nextTo"/>
        <c:crossAx val="111759744"/>
        <c:crosses val="autoZero"/>
        <c:auto val="1"/>
        <c:lblAlgn val="ctr"/>
        <c:lblOffset val="100"/>
        <c:noMultiLvlLbl val="0"/>
      </c:catAx>
      <c:valAx>
        <c:axId val="111759744"/>
        <c:scaling>
          <c:orientation val="minMax"/>
        </c:scaling>
        <c:delete val="1"/>
        <c:axPos val="b"/>
        <c:numFmt formatCode="0" sourceLinked="1"/>
        <c:majorTickMark val="out"/>
        <c:minorTickMark val="none"/>
        <c:tickLblPos val="nextTo"/>
        <c:crossAx val="111737472"/>
        <c:crosses val="autoZero"/>
        <c:crossBetween val="between"/>
      </c:valAx>
      <c:spPr>
        <a:noFill/>
        <a:ln w="25400">
          <a:noFill/>
        </a:ln>
      </c:spPr>
    </c:plotArea>
    <c:plotVisOnly val="1"/>
    <c:dispBlanksAs val="gap"/>
    <c:showDLblsOverMax val="0"/>
  </c:chart>
  <c:printSettings>
    <c:headerFooter/>
    <c:pageMargins b="0.75" l="0.7" r="0.7" t="0.75" header="0.3" footer="0.3"/>
    <c:pageSetup/>
  </c:printSettings>
  <c:userShapes r:id="rId1"/>
</c:chartSpace>
</file>

<file path=xl/charts/chart45.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42"/>
    </mc:Choice>
    <mc:Fallback>
      <c:style val="42"/>
    </mc:Fallback>
  </mc:AlternateContent>
  <c:chart>
    <c:title>
      <c:tx>
        <c:rich>
          <a:bodyPr/>
          <a:lstStyle/>
          <a:p>
            <a:pPr>
              <a:defRPr/>
            </a:pPr>
            <a:r>
              <a:rPr lang="en-US"/>
              <a:t>Incinerador 3 - Chaminé</a:t>
            </a:r>
          </a:p>
        </c:rich>
      </c:tx>
      <c:layout>
        <c:manualLayout>
          <c:xMode val="edge"/>
          <c:yMode val="edge"/>
          <c:x val="0.3256457887098983"/>
          <c:y val="3.2802700152971646E-2"/>
        </c:manualLayout>
      </c:layout>
      <c:overlay val="0"/>
    </c:title>
    <c:autoTitleDeleted val="0"/>
    <c:plotArea>
      <c:layout>
        <c:manualLayout>
          <c:layoutTarget val="inner"/>
          <c:xMode val="edge"/>
          <c:yMode val="edge"/>
          <c:x val="2.4691358024691357E-2"/>
          <c:y val="0.32444484748597435"/>
          <c:w val="0.95286195286195285"/>
          <c:h val="0.55961308824621336"/>
        </c:manualLayout>
      </c:layout>
      <c:barChart>
        <c:barDir val="bar"/>
        <c:grouping val="stacked"/>
        <c:varyColors val="0"/>
        <c:ser>
          <c:idx val="0"/>
          <c:order val="0"/>
          <c:invertIfNegative val="0"/>
          <c:dLbls>
            <c:dLbl>
              <c:idx val="0"/>
              <c:layout>
                <c:manualLayout>
                  <c:x val="0"/>
                  <c:y val="1.6401350076485823E-2"/>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'2013 - Ciclo de Operação'!$B$27</c:f>
              <c:numCache>
                <c:formatCode>0</c:formatCode>
                <c:ptCount val="1"/>
                <c:pt idx="0">
                  <c:v>672</c:v>
                </c:pt>
              </c:numCache>
            </c:numRef>
          </c:val>
        </c:ser>
        <c:ser>
          <c:idx val="1"/>
          <c:order val="1"/>
          <c:invertIfNegative val="0"/>
          <c:dLbls>
            <c:dLbl>
              <c:idx val="0"/>
              <c:layout>
                <c:manualLayout>
                  <c:x val="-1.2119518685244076E-2"/>
                  <c:y val="-0.22961890107080149"/>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'2013 - Ciclo de Operação'!$I$27</c:f>
              <c:numCache>
                <c:formatCode>General</c:formatCode>
                <c:ptCount val="1"/>
                <c:pt idx="0">
                  <c:v>1</c:v>
                </c:pt>
              </c:numCache>
            </c:numRef>
          </c:val>
        </c:ser>
        <c:ser>
          <c:idx val="2"/>
          <c:order val="2"/>
          <c:invertIfNegative val="0"/>
          <c:dLbls>
            <c:dLbl>
              <c:idx val="0"/>
              <c:layout>
                <c:manualLayout>
                  <c:x val="-2.4287538446504018E-3"/>
                  <c:y val="-6.5605400305943293E-2"/>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'2013 - Ciclo de Operação'!$B$28</c:f>
              <c:numCache>
                <c:formatCode>0</c:formatCode>
                <c:ptCount val="1"/>
                <c:pt idx="0">
                  <c:v>24</c:v>
                </c:pt>
              </c:numCache>
            </c:numRef>
          </c:val>
        </c:ser>
        <c:ser>
          <c:idx val="3"/>
          <c:order val="3"/>
          <c:invertIfNegative val="0"/>
          <c:dLbls>
            <c:dLbl>
              <c:idx val="0"/>
              <c:layout>
                <c:manualLayout>
                  <c:x val="-4.8478074740976301E-3"/>
                  <c:y val="-0.16401350076485824"/>
                </c:manualLayout>
              </c:layout>
              <c:showLegendKey val="0"/>
              <c:showVal val="1"/>
              <c:showCatName val="0"/>
              <c:showSerName val="0"/>
              <c:showPercent val="0"/>
              <c:showBubbleSize val="0"/>
            </c:dLbl>
            <c:showLegendKey val="0"/>
            <c:showVal val="0"/>
            <c:showCatName val="0"/>
            <c:showSerName val="0"/>
            <c:showPercent val="0"/>
            <c:showBubbleSize val="0"/>
          </c:dLbls>
          <c:val>
            <c:numRef>
              <c:f>'2013 - Ciclo de Operação'!$I$28</c:f>
              <c:numCache>
                <c:formatCode>General</c:formatCode>
                <c:ptCount val="1"/>
                <c:pt idx="0">
                  <c:v>2</c:v>
                </c:pt>
              </c:numCache>
            </c:numRef>
          </c:val>
        </c:ser>
        <c:ser>
          <c:idx val="4"/>
          <c:order val="4"/>
          <c:invertIfNegative val="0"/>
          <c:dLbls>
            <c:dLbl>
              <c:idx val="0"/>
              <c:layout>
                <c:manualLayout>
                  <c:x val="0"/>
                  <c:y val="8.2006750382429116E-3"/>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'2013 - Ciclo de Operação'!$B$29</c:f>
              <c:numCache>
                <c:formatCode>0</c:formatCode>
                <c:ptCount val="1"/>
                <c:pt idx="0">
                  <c:v>192</c:v>
                </c:pt>
              </c:numCache>
            </c:numRef>
          </c:val>
        </c:ser>
        <c:ser>
          <c:idx val="5"/>
          <c:order val="5"/>
          <c:invertIfNegative val="0"/>
          <c:dLbls>
            <c:dLbl>
              <c:idx val="0"/>
              <c:layout>
                <c:manualLayout>
                  <c:x val="2.4329949363053366E-3"/>
                  <c:y val="-0.29522430137674477"/>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'2013 - Ciclo de Operação'!$I$29</c:f>
              <c:numCache>
                <c:formatCode>General</c:formatCode>
                <c:ptCount val="1"/>
                <c:pt idx="0">
                  <c:v>2.5</c:v>
                </c:pt>
              </c:numCache>
            </c:numRef>
          </c:val>
        </c:ser>
        <c:ser>
          <c:idx val="6"/>
          <c:order val="6"/>
          <c:invertIfNegative val="0"/>
          <c:dLbls>
            <c:dLbl>
              <c:idx val="0"/>
              <c:layout>
                <c:manualLayout>
                  <c:x val="0"/>
                  <c:y val="7.3806075344186206E-2"/>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'2013 - Ciclo de Operação'!$B$30</c:f>
              <c:numCache>
                <c:formatCode>0</c:formatCode>
                <c:ptCount val="1"/>
                <c:pt idx="0">
                  <c:v>456</c:v>
                </c:pt>
              </c:numCache>
            </c:numRef>
          </c:val>
        </c:ser>
        <c:ser>
          <c:idx val="7"/>
          <c:order val="7"/>
          <c:invertIfNegative val="0"/>
          <c:dLbls>
            <c:dLbl>
              <c:idx val="0"/>
              <c:layout>
                <c:manualLayout>
                  <c:x val="0"/>
                  <c:y val="-0.16401350076485824"/>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'2013 - Ciclo de Operação'!$I$30</c:f>
              <c:numCache>
                <c:formatCode>General</c:formatCode>
                <c:ptCount val="1"/>
                <c:pt idx="0">
                  <c:v>0.5</c:v>
                </c:pt>
              </c:numCache>
            </c:numRef>
          </c:val>
        </c:ser>
        <c:ser>
          <c:idx val="8"/>
          <c:order val="8"/>
          <c:invertIfNegative val="0"/>
          <c:dLbls>
            <c:dLbl>
              <c:idx val="0"/>
              <c:layout>
                <c:manualLayout>
                  <c:x val="0"/>
                  <c:y val="1.6401350076485823E-2"/>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'2013 - Ciclo de Operação'!$B$31</c:f>
              <c:numCache>
                <c:formatCode>0</c:formatCode>
                <c:ptCount val="1"/>
                <c:pt idx="0">
                  <c:v>312</c:v>
                </c:pt>
              </c:numCache>
            </c:numRef>
          </c:val>
        </c:ser>
        <c:ser>
          <c:idx val="9"/>
          <c:order val="9"/>
          <c:invertIfNegative val="0"/>
          <c:dLbls>
            <c:dLbl>
              <c:idx val="0"/>
              <c:layout>
                <c:manualLayout>
                  <c:x val="0"/>
                  <c:y val="-0.17221417580310114"/>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'2013 - Ciclo de Operação'!$I$31</c:f>
              <c:numCache>
                <c:formatCode>General</c:formatCode>
                <c:ptCount val="1"/>
                <c:pt idx="0">
                  <c:v>1</c:v>
                </c:pt>
              </c:numCache>
            </c:numRef>
          </c:val>
        </c:ser>
        <c:ser>
          <c:idx val="10"/>
          <c:order val="10"/>
          <c:invertIfNegative val="0"/>
          <c:dLbls>
            <c:showLegendKey val="0"/>
            <c:showVal val="1"/>
            <c:showCatName val="0"/>
            <c:showSerName val="0"/>
            <c:showPercent val="0"/>
            <c:showBubbleSize val="0"/>
            <c:showLeaderLines val="0"/>
          </c:dLbls>
          <c:val>
            <c:numRef>
              <c:f>'2013 - Ciclo de Operação'!#REF!</c:f>
              <c:numCache>
                <c:formatCode>General</c:formatCode>
                <c:ptCount val="1"/>
                <c:pt idx="0">
                  <c:v>1</c:v>
                </c:pt>
              </c:numCache>
            </c:numRef>
          </c:val>
        </c:ser>
        <c:ser>
          <c:idx val="11"/>
          <c:order val="11"/>
          <c:invertIfNegative val="0"/>
          <c:val>
            <c:numRef>
              <c:f>'2013 - Ciclo de Operação'!#REF!</c:f>
              <c:numCache>
                <c:formatCode>General</c:formatCode>
                <c:ptCount val="1"/>
                <c:pt idx="0">
                  <c:v>1</c:v>
                </c:pt>
              </c:numCache>
            </c:numRef>
          </c:val>
        </c:ser>
        <c:ser>
          <c:idx val="12"/>
          <c:order val="12"/>
          <c:invertIfNegative val="0"/>
          <c:val>
            <c:numRef>
              <c:f>'2013 - Ciclo de Operação'!#REF!</c:f>
              <c:numCache>
                <c:formatCode>General</c:formatCode>
                <c:ptCount val="1"/>
                <c:pt idx="0">
                  <c:v>1</c:v>
                </c:pt>
              </c:numCache>
            </c:numRef>
          </c:val>
        </c:ser>
        <c:ser>
          <c:idx val="13"/>
          <c:order val="13"/>
          <c:invertIfNegative val="0"/>
          <c:val>
            <c:numRef>
              <c:f>'2013 - Ciclo de Operação'!#REF!</c:f>
              <c:numCache>
                <c:formatCode>General</c:formatCode>
                <c:ptCount val="1"/>
                <c:pt idx="0">
                  <c:v>1</c:v>
                </c:pt>
              </c:numCache>
            </c:numRef>
          </c:val>
        </c:ser>
        <c:ser>
          <c:idx val="14"/>
          <c:order val="14"/>
          <c:invertIfNegative val="0"/>
          <c:val>
            <c:numRef>
              <c:f>'2013 - Ciclo de Operação'!#REF!</c:f>
              <c:numCache>
                <c:formatCode>General</c:formatCode>
                <c:ptCount val="1"/>
                <c:pt idx="0">
                  <c:v>1</c:v>
                </c:pt>
              </c:numCache>
            </c:numRef>
          </c:val>
        </c:ser>
        <c:ser>
          <c:idx val="15"/>
          <c:order val="15"/>
          <c:invertIfNegative val="0"/>
          <c:val>
            <c:numRef>
              <c:f>'2013 - Ciclo de Operação'!#REF!</c:f>
              <c:numCache>
                <c:formatCode>General</c:formatCode>
                <c:ptCount val="1"/>
                <c:pt idx="0">
                  <c:v>1</c:v>
                </c:pt>
              </c:numCache>
            </c:numRef>
          </c:val>
        </c:ser>
        <c:ser>
          <c:idx val="16"/>
          <c:order val="16"/>
          <c:invertIfNegative val="0"/>
          <c:val>
            <c:numRef>
              <c:f>'2013 - Ciclo de Operação'!#REF!</c:f>
              <c:numCache>
                <c:formatCode>General</c:formatCode>
                <c:ptCount val="1"/>
                <c:pt idx="0">
                  <c:v>1</c:v>
                </c:pt>
              </c:numCache>
            </c:numRef>
          </c:val>
        </c:ser>
        <c:ser>
          <c:idx val="17"/>
          <c:order val="17"/>
          <c:invertIfNegative val="0"/>
          <c:val>
            <c:numRef>
              <c:f>'2013 - Ciclo de Operação'!#REF!</c:f>
              <c:numCache>
                <c:formatCode>General</c:formatCode>
                <c:ptCount val="1"/>
                <c:pt idx="0">
                  <c:v>1</c:v>
                </c:pt>
              </c:numCache>
            </c:numRef>
          </c:val>
        </c:ser>
        <c:ser>
          <c:idx val="18"/>
          <c:order val="18"/>
          <c:invertIfNegative val="0"/>
          <c:val>
            <c:numRef>
              <c:f>'2013 - Ciclo de Operação'!#REF!</c:f>
              <c:numCache>
                <c:formatCode>General</c:formatCode>
                <c:ptCount val="1"/>
                <c:pt idx="0">
                  <c:v>1</c:v>
                </c:pt>
              </c:numCache>
            </c:numRef>
          </c:val>
        </c:ser>
        <c:ser>
          <c:idx val="19"/>
          <c:order val="19"/>
          <c:invertIfNegative val="0"/>
          <c:val>
            <c:numRef>
              <c:f>'2013 - Ciclo de Operação'!#REF!</c:f>
              <c:numCache>
                <c:formatCode>General</c:formatCode>
                <c:ptCount val="1"/>
                <c:pt idx="0">
                  <c:v>1</c:v>
                </c:pt>
              </c:numCache>
            </c:numRef>
          </c:val>
        </c:ser>
        <c:ser>
          <c:idx val="20"/>
          <c:order val="20"/>
          <c:invertIfNegative val="0"/>
          <c:val>
            <c:numRef>
              <c:f>'2013 - Ciclo de Operação'!#REF!</c:f>
              <c:numCache>
                <c:formatCode>General</c:formatCode>
                <c:ptCount val="1"/>
                <c:pt idx="0">
                  <c:v>1</c:v>
                </c:pt>
              </c:numCache>
            </c:numRef>
          </c:val>
        </c:ser>
        <c:ser>
          <c:idx val="21"/>
          <c:order val="21"/>
          <c:invertIfNegative val="0"/>
          <c:val>
            <c:numRef>
              <c:f>'2013 - Ciclo de Operação'!#REF!</c:f>
              <c:numCache>
                <c:formatCode>General</c:formatCode>
                <c:ptCount val="1"/>
                <c:pt idx="0">
                  <c:v>1</c:v>
                </c:pt>
              </c:numCache>
            </c:numRef>
          </c:val>
        </c:ser>
        <c:ser>
          <c:idx val="22"/>
          <c:order val="22"/>
          <c:invertIfNegative val="0"/>
          <c:dLbls>
            <c:showLegendKey val="0"/>
            <c:showVal val="1"/>
            <c:showCatName val="0"/>
            <c:showSerName val="0"/>
            <c:showPercent val="0"/>
            <c:showBubbleSize val="0"/>
            <c:showLeaderLines val="0"/>
          </c:dLbls>
          <c:val>
            <c:numRef>
              <c:f>'2013 - Ciclo de Operação'!$B$32</c:f>
              <c:numCache>
                <c:formatCode>0</c:formatCode>
                <c:ptCount val="1"/>
                <c:pt idx="0">
                  <c:v>2928</c:v>
                </c:pt>
              </c:numCache>
            </c:numRef>
          </c:val>
        </c:ser>
        <c:ser>
          <c:idx val="23"/>
          <c:order val="23"/>
          <c:invertIfNegative val="0"/>
          <c:dLbls>
            <c:dLbl>
              <c:idx val="0"/>
              <c:layout>
                <c:manualLayout>
                  <c:x val="-1.2265511429331917E-2"/>
                  <c:y val="-0.25422092618553022"/>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'2013 - Ciclo de Operação'!$I$32</c:f>
              <c:numCache>
                <c:formatCode>General</c:formatCode>
                <c:ptCount val="1"/>
                <c:pt idx="0">
                  <c:v>2</c:v>
                </c:pt>
              </c:numCache>
            </c:numRef>
          </c:val>
        </c:ser>
        <c:ser>
          <c:idx val="24"/>
          <c:order val="24"/>
          <c:invertIfNegative val="0"/>
          <c:dLbls>
            <c:dLbl>
              <c:idx val="0"/>
              <c:layout>
                <c:manualLayout>
                  <c:x val="0"/>
                  <c:y val="0"/>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'2013 - Ciclo de Operação'!$B$33</c:f>
              <c:numCache>
                <c:formatCode>0</c:formatCode>
                <c:ptCount val="1"/>
                <c:pt idx="0">
                  <c:v>96</c:v>
                </c:pt>
              </c:numCache>
            </c:numRef>
          </c:val>
        </c:ser>
        <c:ser>
          <c:idx val="25"/>
          <c:order val="25"/>
          <c:invertIfNegative val="0"/>
          <c:dLbls>
            <c:dLbl>
              <c:idx val="0"/>
              <c:layout>
                <c:manualLayout>
                  <c:x val="1.7171716001064687E-2"/>
                  <c:y val="-0.17221417580310114"/>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'2013 - Ciclo de Operação'!$I$33</c:f>
              <c:numCache>
                <c:formatCode>General</c:formatCode>
                <c:ptCount val="1"/>
                <c:pt idx="0">
                  <c:v>2</c:v>
                </c:pt>
              </c:numCache>
            </c:numRef>
          </c:val>
        </c:ser>
        <c:ser>
          <c:idx val="26"/>
          <c:order val="26"/>
          <c:invertIfNegative val="0"/>
          <c:dLbls>
            <c:showLegendKey val="0"/>
            <c:showVal val="1"/>
            <c:showCatName val="0"/>
            <c:showSerName val="0"/>
            <c:showPercent val="0"/>
            <c:showBubbleSize val="0"/>
            <c:showLeaderLines val="0"/>
          </c:dLbls>
          <c:val>
            <c:numRef>
              <c:f>'2013 - Ciclo de Operação'!$B$34</c:f>
              <c:numCache>
                <c:formatCode>0</c:formatCode>
                <c:ptCount val="1"/>
                <c:pt idx="0">
                  <c:v>3000</c:v>
                </c:pt>
              </c:numCache>
            </c:numRef>
          </c:val>
        </c:ser>
        <c:ser>
          <c:idx val="27"/>
          <c:order val="27"/>
          <c:invertIfNegative val="0"/>
          <c:dLbls>
            <c:dLbl>
              <c:idx val="0"/>
              <c:layout>
                <c:manualLayout>
                  <c:x val="0"/>
                  <c:y val="-0.15581282572661531"/>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'2013 - Ciclo de Operação'!$I$34</c:f>
              <c:numCache>
                <c:formatCode>General</c:formatCode>
                <c:ptCount val="1"/>
                <c:pt idx="0">
                  <c:v>1.5</c:v>
                </c:pt>
              </c:numCache>
            </c:numRef>
          </c:val>
        </c:ser>
        <c:ser>
          <c:idx val="28"/>
          <c:order val="28"/>
          <c:invertIfNegative val="0"/>
          <c:dLbls>
            <c:showLegendKey val="0"/>
            <c:showVal val="1"/>
            <c:showCatName val="0"/>
            <c:showSerName val="0"/>
            <c:showPercent val="0"/>
            <c:showBubbleSize val="0"/>
            <c:showLeaderLines val="0"/>
          </c:dLbls>
          <c:val>
            <c:numRef>
              <c:f>'2013 - Ciclo de Operação'!$B$35</c:f>
              <c:numCache>
                <c:formatCode>0</c:formatCode>
                <c:ptCount val="1"/>
                <c:pt idx="0">
                  <c:v>960</c:v>
                </c:pt>
              </c:numCache>
            </c:numRef>
          </c:val>
        </c:ser>
        <c:dLbls>
          <c:showLegendKey val="0"/>
          <c:showVal val="0"/>
          <c:showCatName val="0"/>
          <c:showSerName val="0"/>
          <c:showPercent val="0"/>
          <c:showBubbleSize val="0"/>
        </c:dLbls>
        <c:gapWidth val="150"/>
        <c:overlap val="100"/>
        <c:axId val="112048384"/>
        <c:axId val="112066560"/>
      </c:barChart>
      <c:catAx>
        <c:axId val="112048384"/>
        <c:scaling>
          <c:orientation val="minMax"/>
        </c:scaling>
        <c:delete val="1"/>
        <c:axPos val="l"/>
        <c:majorTickMark val="out"/>
        <c:minorTickMark val="none"/>
        <c:tickLblPos val="nextTo"/>
        <c:crossAx val="112066560"/>
        <c:crosses val="autoZero"/>
        <c:auto val="1"/>
        <c:lblAlgn val="ctr"/>
        <c:lblOffset val="100"/>
        <c:noMultiLvlLbl val="0"/>
      </c:catAx>
      <c:valAx>
        <c:axId val="112066560"/>
        <c:scaling>
          <c:orientation val="minMax"/>
        </c:scaling>
        <c:delete val="1"/>
        <c:axPos val="b"/>
        <c:numFmt formatCode="0" sourceLinked="1"/>
        <c:majorTickMark val="out"/>
        <c:minorTickMark val="none"/>
        <c:tickLblPos val="nextTo"/>
        <c:crossAx val="112048384"/>
        <c:crosses val="autoZero"/>
        <c:crossBetween val="between"/>
      </c:valAx>
      <c:spPr>
        <a:noFill/>
        <a:ln w="25400">
          <a:noFill/>
        </a:ln>
      </c:spPr>
    </c:plotArea>
    <c:plotVisOnly val="1"/>
    <c:dispBlanksAs val="gap"/>
    <c:showDLblsOverMax val="0"/>
  </c:chart>
  <c:printSettings>
    <c:headerFooter/>
    <c:pageMargins b="0.75" l="0.7" r="0.7" t="0.75" header="0.3" footer="0.3"/>
    <c:pageSetup/>
  </c:printSettings>
  <c:userShapes r:id="rId1"/>
</c:chartSpace>
</file>

<file path=xl/charts/chart46.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42"/>
    </mc:Choice>
    <mc:Fallback>
      <c:style val="42"/>
    </mc:Fallback>
  </mc:AlternateContent>
  <c:chart>
    <c:title>
      <c:tx>
        <c:rich>
          <a:bodyPr/>
          <a:lstStyle/>
          <a:p>
            <a:pPr>
              <a:defRPr/>
            </a:pPr>
            <a:r>
              <a:rPr lang="en-US"/>
              <a:t>Incinerador 3 - Precipitador</a:t>
            </a:r>
          </a:p>
        </c:rich>
      </c:tx>
      <c:layout/>
      <c:overlay val="0"/>
    </c:title>
    <c:autoTitleDeleted val="0"/>
    <c:plotArea>
      <c:layout>
        <c:manualLayout>
          <c:layoutTarget val="inner"/>
          <c:xMode val="edge"/>
          <c:yMode val="edge"/>
          <c:x val="2.4691358024691357E-2"/>
          <c:y val="0.32444484748597435"/>
          <c:w val="0.95286195286195285"/>
          <c:h val="0.55961308824621336"/>
        </c:manualLayout>
      </c:layout>
      <c:barChart>
        <c:barDir val="bar"/>
        <c:grouping val="stacked"/>
        <c:varyColors val="0"/>
        <c:ser>
          <c:idx val="0"/>
          <c:order val="0"/>
          <c:invertIfNegative val="0"/>
          <c:dLbls>
            <c:showLegendKey val="0"/>
            <c:showVal val="1"/>
            <c:showCatName val="0"/>
            <c:showSerName val="0"/>
            <c:showPercent val="0"/>
            <c:showBubbleSize val="0"/>
            <c:showLeaderLines val="0"/>
          </c:dLbls>
          <c:val>
            <c:numRef>
              <c:f>'2013 - Ciclo de Operação'!$B$36</c:f>
              <c:numCache>
                <c:formatCode>0</c:formatCode>
                <c:ptCount val="1"/>
                <c:pt idx="0">
                  <c:v>600</c:v>
                </c:pt>
              </c:numCache>
            </c:numRef>
          </c:val>
        </c:ser>
        <c:ser>
          <c:idx val="1"/>
          <c:order val="1"/>
          <c:invertIfNegative val="0"/>
          <c:dLbls>
            <c:dLbl>
              <c:idx val="0"/>
              <c:layout>
                <c:manualLayout>
                  <c:x val="0"/>
                  <c:y val="-0.16401350076485824"/>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'2013 - Ciclo de Operação'!$I$36</c:f>
              <c:numCache>
                <c:formatCode>General</c:formatCode>
                <c:ptCount val="1"/>
                <c:pt idx="0">
                  <c:v>6</c:v>
                </c:pt>
              </c:numCache>
            </c:numRef>
          </c:val>
        </c:ser>
        <c:ser>
          <c:idx val="2"/>
          <c:order val="2"/>
          <c:invertIfNegative val="0"/>
          <c:dLbls>
            <c:showLegendKey val="0"/>
            <c:showVal val="1"/>
            <c:showCatName val="0"/>
            <c:showSerName val="0"/>
            <c:showPercent val="0"/>
            <c:showBubbleSize val="0"/>
            <c:showLeaderLines val="0"/>
          </c:dLbls>
          <c:val>
            <c:numRef>
              <c:f>'2013 - Ciclo de Operação'!$B$37</c:f>
              <c:numCache>
                <c:formatCode>0</c:formatCode>
                <c:ptCount val="1"/>
                <c:pt idx="0">
                  <c:v>8040</c:v>
                </c:pt>
              </c:numCache>
            </c:numRef>
          </c:val>
        </c:ser>
        <c:dLbls>
          <c:showLegendKey val="0"/>
          <c:showVal val="0"/>
          <c:showCatName val="0"/>
          <c:showSerName val="0"/>
          <c:showPercent val="0"/>
          <c:showBubbleSize val="0"/>
        </c:dLbls>
        <c:gapWidth val="150"/>
        <c:overlap val="100"/>
        <c:axId val="112094208"/>
        <c:axId val="112108288"/>
      </c:barChart>
      <c:catAx>
        <c:axId val="112094208"/>
        <c:scaling>
          <c:orientation val="minMax"/>
        </c:scaling>
        <c:delete val="1"/>
        <c:axPos val="l"/>
        <c:majorTickMark val="out"/>
        <c:minorTickMark val="none"/>
        <c:tickLblPos val="nextTo"/>
        <c:crossAx val="112108288"/>
        <c:crosses val="autoZero"/>
        <c:auto val="1"/>
        <c:lblAlgn val="ctr"/>
        <c:lblOffset val="100"/>
        <c:noMultiLvlLbl val="0"/>
      </c:catAx>
      <c:valAx>
        <c:axId val="112108288"/>
        <c:scaling>
          <c:orientation val="minMax"/>
        </c:scaling>
        <c:delete val="1"/>
        <c:axPos val="b"/>
        <c:numFmt formatCode="0" sourceLinked="1"/>
        <c:majorTickMark val="out"/>
        <c:minorTickMark val="none"/>
        <c:tickLblPos val="nextTo"/>
        <c:crossAx val="112094208"/>
        <c:crosses val="autoZero"/>
        <c:crossBetween val="between"/>
      </c:valAx>
      <c:spPr>
        <a:noFill/>
        <a:ln w="25400">
          <a:noFill/>
        </a:ln>
      </c:spPr>
    </c:plotArea>
    <c:plotVisOnly val="1"/>
    <c:dispBlanksAs val="gap"/>
    <c:showDLblsOverMax val="0"/>
  </c:chart>
  <c:printSettings>
    <c:headerFooter/>
    <c:pageMargins b="0.75" l="0.7" r="0.7" t="0.75" header="0.3" footer="0.3"/>
    <c:pageSetup/>
  </c:printSettings>
  <c:userShapes r:id="rId1"/>
</c:chartSpace>
</file>

<file path=xl/charts/chart47.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42"/>
    </mc:Choice>
    <mc:Fallback>
      <c:style val="42"/>
    </mc:Fallback>
  </mc:AlternateContent>
  <c:chart>
    <c:title>
      <c:tx>
        <c:rich>
          <a:bodyPr/>
          <a:lstStyle/>
          <a:p>
            <a:pPr>
              <a:defRPr/>
            </a:pPr>
            <a:r>
              <a:rPr lang="en-US"/>
              <a:t>Incinerador 3 - Calcinador</a:t>
            </a:r>
          </a:p>
        </c:rich>
      </c:tx>
      <c:layout/>
      <c:overlay val="0"/>
    </c:title>
    <c:autoTitleDeleted val="0"/>
    <c:plotArea>
      <c:layout>
        <c:manualLayout>
          <c:layoutTarget val="inner"/>
          <c:xMode val="edge"/>
          <c:yMode val="edge"/>
          <c:x val="2.4691358024691357E-2"/>
          <c:y val="0.32444484748597435"/>
          <c:w val="0.95286195286195285"/>
          <c:h val="0.55961308824621336"/>
        </c:manualLayout>
      </c:layout>
      <c:barChart>
        <c:barDir val="bar"/>
        <c:grouping val="stacked"/>
        <c:varyColors val="0"/>
        <c:ser>
          <c:idx val="0"/>
          <c:order val="0"/>
          <c:invertIfNegative val="0"/>
          <c:dLbls>
            <c:showLegendKey val="0"/>
            <c:showVal val="1"/>
            <c:showCatName val="0"/>
            <c:showSerName val="0"/>
            <c:showPercent val="0"/>
            <c:showBubbleSize val="0"/>
            <c:showLeaderLines val="0"/>
          </c:dLbls>
          <c:val>
            <c:numRef>
              <c:f>'2013 - Ciclo de Operação'!$B$38</c:f>
              <c:numCache>
                <c:formatCode>0</c:formatCode>
                <c:ptCount val="1"/>
                <c:pt idx="0">
                  <c:v>7464</c:v>
                </c:pt>
              </c:numCache>
            </c:numRef>
          </c:val>
        </c:ser>
        <c:ser>
          <c:idx val="1"/>
          <c:order val="1"/>
          <c:invertIfNegative val="0"/>
          <c:dLbls>
            <c:dLbl>
              <c:idx val="0"/>
              <c:layout>
                <c:manualLayout>
                  <c:x val="0"/>
                  <c:y val="-0.15581282572661531"/>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'2013 - Ciclo de Operação'!$I$38</c:f>
              <c:numCache>
                <c:formatCode>General</c:formatCode>
                <c:ptCount val="1"/>
                <c:pt idx="0">
                  <c:v>4</c:v>
                </c:pt>
              </c:numCache>
            </c:numRef>
          </c:val>
        </c:ser>
        <c:ser>
          <c:idx val="2"/>
          <c:order val="2"/>
          <c:invertIfNegative val="0"/>
          <c:dLbls>
            <c:showLegendKey val="0"/>
            <c:showVal val="1"/>
            <c:showCatName val="0"/>
            <c:showSerName val="0"/>
            <c:showPercent val="0"/>
            <c:showBubbleSize val="0"/>
            <c:showLeaderLines val="0"/>
          </c:dLbls>
          <c:val>
            <c:numRef>
              <c:f>'2013 - Ciclo de Operação'!$B$39</c:f>
              <c:numCache>
                <c:formatCode>0</c:formatCode>
                <c:ptCount val="1"/>
                <c:pt idx="0">
                  <c:v>336</c:v>
                </c:pt>
              </c:numCache>
            </c:numRef>
          </c:val>
        </c:ser>
        <c:ser>
          <c:idx val="3"/>
          <c:order val="3"/>
          <c:invertIfNegative val="0"/>
          <c:dLbls>
            <c:dLbl>
              <c:idx val="0"/>
              <c:layout>
                <c:manualLayout>
                  <c:x val="-2.4531018120309772E-3"/>
                  <c:y val="-0.15581282572661531"/>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'2013 - Ciclo de Operação'!$I$39</c:f>
              <c:numCache>
                <c:formatCode>General</c:formatCode>
                <c:ptCount val="1"/>
                <c:pt idx="0">
                  <c:v>8</c:v>
                </c:pt>
              </c:numCache>
            </c:numRef>
          </c:val>
        </c:ser>
        <c:ser>
          <c:idx val="4"/>
          <c:order val="4"/>
          <c:invertIfNegative val="0"/>
          <c:dLbls>
            <c:showLegendKey val="0"/>
            <c:showVal val="1"/>
            <c:showCatName val="0"/>
            <c:showSerName val="0"/>
            <c:showPercent val="0"/>
            <c:showBubbleSize val="0"/>
            <c:showLeaderLines val="0"/>
          </c:dLbls>
          <c:val>
            <c:numRef>
              <c:f>'2013 - Ciclo de Operação'!$B$40</c:f>
              <c:numCache>
                <c:formatCode>0</c:formatCode>
                <c:ptCount val="1"/>
                <c:pt idx="0">
                  <c:v>840</c:v>
                </c:pt>
              </c:numCache>
            </c:numRef>
          </c:val>
        </c:ser>
        <c:dLbls>
          <c:showLegendKey val="0"/>
          <c:showVal val="0"/>
          <c:showCatName val="0"/>
          <c:showSerName val="0"/>
          <c:showPercent val="0"/>
          <c:showBubbleSize val="0"/>
        </c:dLbls>
        <c:gapWidth val="150"/>
        <c:overlap val="100"/>
        <c:axId val="112154880"/>
        <c:axId val="112168960"/>
      </c:barChart>
      <c:catAx>
        <c:axId val="112154880"/>
        <c:scaling>
          <c:orientation val="minMax"/>
        </c:scaling>
        <c:delete val="1"/>
        <c:axPos val="l"/>
        <c:majorTickMark val="out"/>
        <c:minorTickMark val="none"/>
        <c:tickLblPos val="nextTo"/>
        <c:crossAx val="112168960"/>
        <c:crosses val="autoZero"/>
        <c:auto val="1"/>
        <c:lblAlgn val="ctr"/>
        <c:lblOffset val="100"/>
        <c:noMultiLvlLbl val="0"/>
      </c:catAx>
      <c:valAx>
        <c:axId val="112168960"/>
        <c:scaling>
          <c:orientation val="minMax"/>
        </c:scaling>
        <c:delete val="1"/>
        <c:axPos val="b"/>
        <c:numFmt formatCode="0" sourceLinked="1"/>
        <c:majorTickMark val="out"/>
        <c:minorTickMark val="none"/>
        <c:tickLblPos val="nextTo"/>
        <c:crossAx val="112154880"/>
        <c:crosses val="autoZero"/>
        <c:crossBetween val="between"/>
      </c:valAx>
      <c:spPr>
        <a:noFill/>
        <a:ln w="25400">
          <a:noFill/>
        </a:ln>
      </c:spPr>
    </c:plotArea>
    <c:plotVisOnly val="1"/>
    <c:dispBlanksAs val="gap"/>
    <c:showDLblsOverMax val="0"/>
  </c:chart>
  <c:printSettings>
    <c:headerFooter/>
    <c:pageMargins b="0.75" l="0.7" r="0.7" t="0.75" header="0.3" footer="0.3"/>
    <c:pageSetup/>
  </c:printSettings>
  <c:userShapes r:id="rId1"/>
</c:chartSpace>
</file>

<file path=xl/charts/chart48.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42"/>
    </mc:Choice>
    <mc:Fallback>
      <c:style val="42"/>
    </mc:Fallback>
  </mc:AlternateContent>
  <c:chart>
    <c:title>
      <c:tx>
        <c:rich>
          <a:bodyPr/>
          <a:lstStyle/>
          <a:p>
            <a:pPr>
              <a:defRPr/>
            </a:pPr>
            <a:r>
              <a:rPr lang="en-US"/>
              <a:t>Incinerador 3 - Aquecedor</a:t>
            </a:r>
          </a:p>
        </c:rich>
      </c:tx>
      <c:layout/>
      <c:overlay val="0"/>
    </c:title>
    <c:autoTitleDeleted val="0"/>
    <c:plotArea>
      <c:layout>
        <c:manualLayout>
          <c:layoutTarget val="inner"/>
          <c:xMode val="edge"/>
          <c:yMode val="edge"/>
          <c:x val="2.4691358024691357E-2"/>
          <c:y val="0.32444484748597435"/>
          <c:w val="0.95286195286195285"/>
          <c:h val="0.55961308824621336"/>
        </c:manualLayout>
      </c:layout>
      <c:barChart>
        <c:barDir val="bar"/>
        <c:grouping val="stacked"/>
        <c:varyColors val="0"/>
        <c:ser>
          <c:idx val="0"/>
          <c:order val="0"/>
          <c:invertIfNegative val="0"/>
          <c:dLbls>
            <c:showLegendKey val="0"/>
            <c:showVal val="1"/>
            <c:showCatName val="0"/>
            <c:showSerName val="0"/>
            <c:showPercent val="0"/>
            <c:showBubbleSize val="0"/>
            <c:showLeaderLines val="0"/>
          </c:dLbls>
          <c:val>
            <c:numRef>
              <c:f>'2013 - Ciclo de Operação'!$B$41</c:f>
              <c:numCache>
                <c:formatCode>0</c:formatCode>
                <c:ptCount val="1"/>
                <c:pt idx="0">
                  <c:v>1536</c:v>
                </c:pt>
              </c:numCache>
            </c:numRef>
          </c:val>
        </c:ser>
        <c:ser>
          <c:idx val="1"/>
          <c:order val="1"/>
          <c:invertIfNegative val="0"/>
          <c:dLbls>
            <c:dLbl>
              <c:idx val="0"/>
              <c:layout>
                <c:manualLayout>
                  <c:x val="0"/>
                  <c:y val="-0.15581282572661531"/>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'2013 - Ciclo de Operação'!$I$41</c:f>
              <c:numCache>
                <c:formatCode>General</c:formatCode>
                <c:ptCount val="1"/>
                <c:pt idx="0">
                  <c:v>29</c:v>
                </c:pt>
              </c:numCache>
            </c:numRef>
          </c:val>
        </c:ser>
        <c:ser>
          <c:idx val="2"/>
          <c:order val="2"/>
          <c:invertIfNegative val="0"/>
          <c:dLbls>
            <c:showLegendKey val="0"/>
            <c:showVal val="1"/>
            <c:showCatName val="0"/>
            <c:showSerName val="0"/>
            <c:showPercent val="0"/>
            <c:showBubbleSize val="0"/>
            <c:showLeaderLines val="0"/>
          </c:dLbls>
          <c:val>
            <c:numRef>
              <c:f>'2013 - Ciclo de Operação'!$B$42</c:f>
              <c:numCache>
                <c:formatCode>0</c:formatCode>
                <c:ptCount val="1"/>
                <c:pt idx="0">
                  <c:v>552</c:v>
                </c:pt>
              </c:numCache>
            </c:numRef>
          </c:val>
        </c:ser>
        <c:ser>
          <c:idx val="3"/>
          <c:order val="3"/>
          <c:invertIfNegative val="0"/>
          <c:dLbls>
            <c:dLbl>
              <c:idx val="0"/>
              <c:layout>
                <c:manualLayout>
                  <c:x val="0"/>
                  <c:y val="-0.16401350076485824"/>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'2013 - Ciclo de Operação'!$I$42</c:f>
              <c:numCache>
                <c:formatCode>General</c:formatCode>
                <c:ptCount val="1"/>
                <c:pt idx="0">
                  <c:v>2</c:v>
                </c:pt>
              </c:numCache>
            </c:numRef>
          </c:val>
        </c:ser>
        <c:ser>
          <c:idx val="4"/>
          <c:order val="4"/>
          <c:invertIfNegative val="0"/>
          <c:dLbls>
            <c:showLegendKey val="0"/>
            <c:showVal val="1"/>
            <c:showCatName val="0"/>
            <c:showSerName val="0"/>
            <c:showPercent val="0"/>
            <c:showBubbleSize val="0"/>
            <c:showLeaderLines val="0"/>
          </c:dLbls>
          <c:val>
            <c:numRef>
              <c:f>'2013 - Ciclo de Operação'!$B$43</c:f>
              <c:numCache>
                <c:formatCode>0</c:formatCode>
                <c:ptCount val="1"/>
                <c:pt idx="0">
                  <c:v>2952</c:v>
                </c:pt>
              </c:numCache>
            </c:numRef>
          </c:val>
        </c:ser>
        <c:ser>
          <c:idx val="5"/>
          <c:order val="5"/>
          <c:invertIfNegative val="0"/>
          <c:dLbls>
            <c:dLbl>
              <c:idx val="0"/>
              <c:layout>
                <c:manualLayout>
                  <c:x val="-2.4531018120309772E-3"/>
                  <c:y val="-0.16401350076485824"/>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'2013 - Ciclo de Operação'!$I$43</c:f>
              <c:numCache>
                <c:formatCode>General</c:formatCode>
                <c:ptCount val="1"/>
                <c:pt idx="0">
                  <c:v>3</c:v>
                </c:pt>
              </c:numCache>
            </c:numRef>
          </c:val>
        </c:ser>
        <c:ser>
          <c:idx val="6"/>
          <c:order val="6"/>
          <c:invertIfNegative val="0"/>
          <c:dLbls>
            <c:showLegendKey val="0"/>
            <c:showVal val="1"/>
            <c:showCatName val="0"/>
            <c:showSerName val="0"/>
            <c:showPercent val="0"/>
            <c:showBubbleSize val="0"/>
            <c:showLeaderLines val="0"/>
          </c:dLbls>
          <c:val>
            <c:numRef>
              <c:f>'2013 - Ciclo de Operação'!$B$44</c:f>
              <c:numCache>
                <c:formatCode>0</c:formatCode>
                <c:ptCount val="1"/>
                <c:pt idx="0">
                  <c:v>3600</c:v>
                </c:pt>
              </c:numCache>
            </c:numRef>
          </c:val>
        </c:ser>
        <c:dLbls>
          <c:showLegendKey val="0"/>
          <c:showVal val="0"/>
          <c:showCatName val="0"/>
          <c:showSerName val="0"/>
          <c:showPercent val="0"/>
          <c:showBubbleSize val="0"/>
        </c:dLbls>
        <c:gapWidth val="150"/>
        <c:overlap val="100"/>
        <c:axId val="112619520"/>
        <c:axId val="112621056"/>
      </c:barChart>
      <c:catAx>
        <c:axId val="112619520"/>
        <c:scaling>
          <c:orientation val="minMax"/>
        </c:scaling>
        <c:delete val="1"/>
        <c:axPos val="l"/>
        <c:majorTickMark val="out"/>
        <c:minorTickMark val="none"/>
        <c:tickLblPos val="nextTo"/>
        <c:crossAx val="112621056"/>
        <c:crosses val="autoZero"/>
        <c:auto val="1"/>
        <c:lblAlgn val="ctr"/>
        <c:lblOffset val="100"/>
        <c:noMultiLvlLbl val="0"/>
      </c:catAx>
      <c:valAx>
        <c:axId val="112621056"/>
        <c:scaling>
          <c:orientation val="minMax"/>
        </c:scaling>
        <c:delete val="1"/>
        <c:axPos val="b"/>
        <c:numFmt formatCode="0" sourceLinked="1"/>
        <c:majorTickMark val="out"/>
        <c:minorTickMark val="none"/>
        <c:tickLblPos val="nextTo"/>
        <c:crossAx val="112619520"/>
        <c:crosses val="autoZero"/>
        <c:crossBetween val="between"/>
      </c:valAx>
      <c:spPr>
        <a:noFill/>
        <a:ln w="25400">
          <a:noFill/>
        </a:ln>
      </c:spPr>
    </c:plotArea>
    <c:plotVisOnly val="1"/>
    <c:dispBlanksAs val="gap"/>
    <c:showDLblsOverMax val="0"/>
  </c:chart>
  <c:printSettings>
    <c:headerFooter/>
    <c:pageMargins b="0.75" l="0.7" r="0.7" t="0.75" header="0.3" footer="0.3"/>
    <c:pageSetup/>
  </c:printSettings>
  <c:userShapes r:id="rId1"/>
</c:chartSpace>
</file>

<file path=xl/charts/chart49.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42"/>
    </mc:Choice>
    <mc:Fallback>
      <c:style val="42"/>
    </mc:Fallback>
  </mc:AlternateContent>
  <c:chart>
    <c:title>
      <c:tx>
        <c:rich>
          <a:bodyPr/>
          <a:lstStyle/>
          <a:p>
            <a:pPr>
              <a:defRPr/>
            </a:pPr>
            <a:r>
              <a:rPr lang="en-US"/>
              <a:t>Moinho 2</a:t>
            </a:r>
          </a:p>
        </c:rich>
      </c:tx>
      <c:layout/>
      <c:overlay val="0"/>
    </c:title>
    <c:autoTitleDeleted val="0"/>
    <c:plotArea>
      <c:layout>
        <c:manualLayout>
          <c:layoutTarget val="inner"/>
          <c:xMode val="edge"/>
          <c:yMode val="edge"/>
          <c:x val="2.4691358024691357E-2"/>
          <c:y val="0.32444484748597435"/>
          <c:w val="0.95286195286195285"/>
          <c:h val="0.55961308824621336"/>
        </c:manualLayout>
      </c:layout>
      <c:barChart>
        <c:barDir val="bar"/>
        <c:grouping val="stacked"/>
        <c:varyColors val="0"/>
        <c:ser>
          <c:idx val="0"/>
          <c:order val="0"/>
          <c:invertIfNegative val="0"/>
          <c:dLbls>
            <c:showLegendKey val="0"/>
            <c:showVal val="1"/>
            <c:showCatName val="0"/>
            <c:showSerName val="0"/>
            <c:showPercent val="0"/>
            <c:showBubbleSize val="0"/>
            <c:showLeaderLines val="0"/>
          </c:dLbls>
          <c:val>
            <c:numRef>
              <c:f>'2013 - Ciclo de Operação'!$B$45</c:f>
              <c:numCache>
                <c:formatCode>0</c:formatCode>
                <c:ptCount val="1"/>
                <c:pt idx="0">
                  <c:v>648</c:v>
                </c:pt>
              </c:numCache>
            </c:numRef>
          </c:val>
        </c:ser>
        <c:ser>
          <c:idx val="1"/>
          <c:order val="1"/>
          <c:invertIfNegative val="0"/>
          <c:dLbls>
            <c:dLbl>
              <c:idx val="0"/>
              <c:layout>
                <c:manualLayout>
                  <c:x val="0"/>
                  <c:y val="-0.17221417580310114"/>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'2013 - Ciclo de Operação'!$I$45</c:f>
              <c:numCache>
                <c:formatCode>General</c:formatCode>
                <c:ptCount val="1"/>
                <c:pt idx="0">
                  <c:v>1</c:v>
                </c:pt>
              </c:numCache>
            </c:numRef>
          </c:val>
        </c:ser>
        <c:ser>
          <c:idx val="2"/>
          <c:order val="2"/>
          <c:invertIfNegative val="0"/>
          <c:dLbls>
            <c:showLegendKey val="0"/>
            <c:showVal val="1"/>
            <c:showCatName val="0"/>
            <c:showSerName val="0"/>
            <c:showPercent val="0"/>
            <c:showBubbleSize val="0"/>
            <c:showLeaderLines val="0"/>
          </c:dLbls>
          <c:val>
            <c:numRef>
              <c:f>'2013 - Ciclo de Operação'!$B$46</c:f>
              <c:numCache>
                <c:formatCode>0</c:formatCode>
                <c:ptCount val="1"/>
                <c:pt idx="0">
                  <c:v>7992</c:v>
                </c:pt>
              </c:numCache>
            </c:numRef>
          </c:val>
        </c:ser>
        <c:dLbls>
          <c:showLegendKey val="0"/>
          <c:showVal val="0"/>
          <c:showCatName val="0"/>
          <c:showSerName val="0"/>
          <c:showPercent val="0"/>
          <c:showBubbleSize val="0"/>
        </c:dLbls>
        <c:gapWidth val="150"/>
        <c:overlap val="100"/>
        <c:axId val="112345856"/>
        <c:axId val="112347392"/>
      </c:barChart>
      <c:catAx>
        <c:axId val="112345856"/>
        <c:scaling>
          <c:orientation val="minMax"/>
        </c:scaling>
        <c:delete val="1"/>
        <c:axPos val="l"/>
        <c:majorTickMark val="out"/>
        <c:minorTickMark val="none"/>
        <c:tickLblPos val="nextTo"/>
        <c:crossAx val="112347392"/>
        <c:crosses val="autoZero"/>
        <c:auto val="1"/>
        <c:lblAlgn val="ctr"/>
        <c:lblOffset val="100"/>
        <c:noMultiLvlLbl val="0"/>
      </c:catAx>
      <c:valAx>
        <c:axId val="112347392"/>
        <c:scaling>
          <c:orientation val="minMax"/>
        </c:scaling>
        <c:delete val="1"/>
        <c:axPos val="b"/>
        <c:numFmt formatCode="0" sourceLinked="1"/>
        <c:majorTickMark val="out"/>
        <c:minorTickMark val="none"/>
        <c:tickLblPos val="nextTo"/>
        <c:crossAx val="112345856"/>
        <c:crosses val="autoZero"/>
        <c:crossBetween val="between"/>
      </c:valAx>
      <c:spPr>
        <a:noFill/>
        <a:ln w="25400">
          <a:noFill/>
        </a:ln>
      </c:spPr>
    </c:plotArea>
    <c:plotVisOnly val="1"/>
    <c:dispBlanksAs val="gap"/>
    <c:showDLblsOverMax val="0"/>
  </c:chart>
  <c:printSettings>
    <c:headerFooter/>
    <c:pageMargins b="0.75" l="0.7" r="0.7" t="0.75" header="0.3" footer="0.3"/>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Total de avarias Moinhos</c:v>
          </c:tx>
          <c:invertIfNegative val="0"/>
          <c:dLbls>
            <c:dLbl>
              <c:idx val="0"/>
              <c:layout/>
              <c:showLegendKey val="0"/>
              <c:showVal val="1"/>
              <c:showCatName val="0"/>
              <c:showSerName val="0"/>
              <c:showPercent val="0"/>
              <c:showBubbleSize val="0"/>
            </c:dLbl>
            <c:numFmt formatCode="#,##0;\-#,##0" sourceLinked="0"/>
            <c:txPr>
              <a:bodyPr/>
              <a:lstStyle/>
              <a:p>
                <a:pPr>
                  <a:defRPr b="1"/>
                </a:pPr>
                <a:endParaRPr lang="pt-PT"/>
              </a:p>
            </c:txPr>
            <c:showLegendKey val="0"/>
            <c:showVal val="0"/>
            <c:showCatName val="0"/>
            <c:showSerName val="0"/>
            <c:showPercent val="0"/>
            <c:showBubbleSize val="0"/>
          </c:dLbls>
          <c:cat>
            <c:numRef>
              <c:f>'2015 - Gráficos'!$F$20</c:f>
              <c:numCache>
                <c:formatCode>General</c:formatCode>
                <c:ptCount val="1"/>
                <c:pt idx="0">
                  <c:v>240</c:v>
                </c:pt>
              </c:numCache>
            </c:numRef>
          </c:cat>
          <c:val>
            <c:numRef>
              <c:f>'2015 - Gráficos'!$G$20</c:f>
              <c:numCache>
                <c:formatCode>0</c:formatCode>
                <c:ptCount val="1"/>
                <c:pt idx="0">
                  <c:v>1</c:v>
                </c:pt>
              </c:numCache>
            </c:numRef>
          </c:val>
        </c:ser>
        <c:dLbls>
          <c:showLegendKey val="0"/>
          <c:showVal val="0"/>
          <c:showCatName val="0"/>
          <c:showSerName val="0"/>
          <c:showPercent val="0"/>
          <c:showBubbleSize val="0"/>
        </c:dLbls>
        <c:gapWidth val="300"/>
        <c:axId val="106903808"/>
        <c:axId val="106905600"/>
      </c:barChart>
      <c:catAx>
        <c:axId val="106903808"/>
        <c:scaling>
          <c:orientation val="minMax"/>
        </c:scaling>
        <c:delete val="0"/>
        <c:axPos val="b"/>
        <c:numFmt formatCode="General" sourceLinked="1"/>
        <c:majorTickMark val="none"/>
        <c:minorTickMark val="none"/>
        <c:tickLblPos val="nextTo"/>
        <c:crossAx val="106905600"/>
        <c:crosses val="autoZero"/>
        <c:auto val="1"/>
        <c:lblAlgn val="ctr"/>
        <c:lblOffset val="100"/>
        <c:noMultiLvlLbl val="0"/>
      </c:catAx>
      <c:valAx>
        <c:axId val="106905600"/>
        <c:scaling>
          <c:orientation val="minMax"/>
        </c:scaling>
        <c:delete val="0"/>
        <c:axPos val="l"/>
        <c:majorGridlines/>
        <c:minorGridlines/>
        <c:numFmt formatCode="0" sourceLinked="1"/>
        <c:majorTickMark val="out"/>
        <c:minorTickMark val="none"/>
        <c:tickLblPos val="nextTo"/>
        <c:crossAx val="106903808"/>
        <c:crosses val="autoZero"/>
        <c:crossBetween val="between"/>
      </c:valAx>
    </c:plotArea>
    <c:legend>
      <c:legendPos val="r"/>
      <c:layout/>
      <c:overlay val="0"/>
    </c:legend>
    <c:plotVisOnly val="1"/>
    <c:dispBlanksAs val="gap"/>
    <c:showDLblsOverMax val="0"/>
  </c:chart>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42"/>
    </mc:Choice>
    <mc:Fallback>
      <c:style val="42"/>
    </mc:Fallback>
  </mc:AlternateContent>
  <c:chart>
    <c:title>
      <c:tx>
        <c:rich>
          <a:bodyPr/>
          <a:lstStyle/>
          <a:p>
            <a:pPr>
              <a:defRPr/>
            </a:pPr>
            <a:r>
              <a:rPr lang="en-US"/>
              <a:t>Moinho 3</a:t>
            </a:r>
          </a:p>
        </c:rich>
      </c:tx>
      <c:layout/>
      <c:overlay val="0"/>
    </c:title>
    <c:autoTitleDeleted val="0"/>
    <c:plotArea>
      <c:layout>
        <c:manualLayout>
          <c:layoutTarget val="inner"/>
          <c:xMode val="edge"/>
          <c:yMode val="edge"/>
          <c:x val="2.4691358024691357E-2"/>
          <c:y val="0.32444484748597435"/>
          <c:w val="0.95286195286195285"/>
          <c:h val="0.55961308824621336"/>
        </c:manualLayout>
      </c:layout>
      <c:barChart>
        <c:barDir val="bar"/>
        <c:grouping val="stacked"/>
        <c:varyColors val="0"/>
        <c:ser>
          <c:idx val="0"/>
          <c:order val="0"/>
          <c:invertIfNegative val="0"/>
          <c:dLbls>
            <c:showLegendKey val="0"/>
            <c:showVal val="1"/>
            <c:showCatName val="0"/>
            <c:showSerName val="0"/>
            <c:showPercent val="0"/>
            <c:showBubbleSize val="0"/>
            <c:showLeaderLines val="0"/>
          </c:dLbls>
          <c:val>
            <c:numRef>
              <c:f>'2013 - Ciclo de Operação'!$B$47</c:f>
              <c:numCache>
                <c:formatCode>0</c:formatCode>
                <c:ptCount val="1"/>
                <c:pt idx="0">
                  <c:v>6384</c:v>
                </c:pt>
              </c:numCache>
            </c:numRef>
          </c:val>
        </c:ser>
        <c:ser>
          <c:idx val="1"/>
          <c:order val="1"/>
          <c:invertIfNegative val="0"/>
          <c:dLbls>
            <c:dLbl>
              <c:idx val="0"/>
              <c:layout>
                <c:manualLayout>
                  <c:x val="0"/>
                  <c:y val="-0.16401350076485824"/>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'2013 - Ciclo de Operação'!$I$47</c:f>
              <c:numCache>
                <c:formatCode>General</c:formatCode>
                <c:ptCount val="1"/>
                <c:pt idx="0">
                  <c:v>0.5</c:v>
                </c:pt>
              </c:numCache>
            </c:numRef>
          </c:val>
        </c:ser>
        <c:ser>
          <c:idx val="2"/>
          <c:order val="2"/>
          <c:invertIfNegative val="0"/>
          <c:dLbls>
            <c:showLegendKey val="0"/>
            <c:showVal val="1"/>
            <c:showCatName val="0"/>
            <c:showSerName val="0"/>
            <c:showPercent val="0"/>
            <c:showBubbleSize val="0"/>
            <c:showLeaderLines val="0"/>
          </c:dLbls>
          <c:val>
            <c:numRef>
              <c:f>'2013 - Ciclo de Operação'!$B$48</c:f>
              <c:numCache>
                <c:formatCode>0</c:formatCode>
                <c:ptCount val="1"/>
                <c:pt idx="0">
                  <c:v>2256</c:v>
                </c:pt>
              </c:numCache>
            </c:numRef>
          </c:val>
        </c:ser>
        <c:dLbls>
          <c:showLegendKey val="0"/>
          <c:showVal val="0"/>
          <c:showCatName val="0"/>
          <c:showSerName val="0"/>
          <c:showPercent val="0"/>
          <c:showBubbleSize val="0"/>
        </c:dLbls>
        <c:gapWidth val="150"/>
        <c:overlap val="100"/>
        <c:axId val="112379392"/>
        <c:axId val="112380928"/>
      </c:barChart>
      <c:catAx>
        <c:axId val="112379392"/>
        <c:scaling>
          <c:orientation val="minMax"/>
        </c:scaling>
        <c:delete val="1"/>
        <c:axPos val="l"/>
        <c:majorTickMark val="out"/>
        <c:minorTickMark val="none"/>
        <c:tickLblPos val="nextTo"/>
        <c:crossAx val="112380928"/>
        <c:crosses val="autoZero"/>
        <c:auto val="1"/>
        <c:lblAlgn val="ctr"/>
        <c:lblOffset val="100"/>
        <c:noMultiLvlLbl val="0"/>
      </c:catAx>
      <c:valAx>
        <c:axId val="112380928"/>
        <c:scaling>
          <c:orientation val="minMax"/>
        </c:scaling>
        <c:delete val="1"/>
        <c:axPos val="b"/>
        <c:numFmt formatCode="0" sourceLinked="1"/>
        <c:majorTickMark val="out"/>
        <c:minorTickMark val="none"/>
        <c:tickLblPos val="nextTo"/>
        <c:crossAx val="112379392"/>
        <c:crosses val="autoZero"/>
        <c:crossBetween val="between"/>
      </c:valAx>
      <c:spPr>
        <a:noFill/>
        <a:ln w="25400">
          <a:noFill/>
        </a:ln>
      </c:spPr>
    </c:plotArea>
    <c:plotVisOnly val="1"/>
    <c:dispBlanksAs val="gap"/>
    <c:showDLblsOverMax val="0"/>
  </c:chart>
  <c:printSettings>
    <c:headerFooter/>
    <c:pageMargins b="0.75" l="0.7" r="0.7" t="0.75" header="0.3" footer="0.3"/>
    <c:pageSetup/>
  </c:printSettings>
  <c:userShapes r:id="rId1"/>
</c:chartSpace>
</file>

<file path=xl/charts/chart51.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42"/>
    </mc:Choice>
    <mc:Fallback>
      <c:style val="42"/>
    </mc:Fallback>
  </mc:AlternateContent>
  <c:chart>
    <c:title>
      <c:tx>
        <c:rich>
          <a:bodyPr/>
          <a:lstStyle/>
          <a:p>
            <a:pPr>
              <a:defRPr/>
            </a:pPr>
            <a:r>
              <a:rPr lang="en-US"/>
              <a:t>Moinho 4</a:t>
            </a:r>
          </a:p>
        </c:rich>
      </c:tx>
      <c:layout/>
      <c:overlay val="0"/>
    </c:title>
    <c:autoTitleDeleted val="0"/>
    <c:plotArea>
      <c:layout>
        <c:manualLayout>
          <c:layoutTarget val="inner"/>
          <c:xMode val="edge"/>
          <c:yMode val="edge"/>
          <c:x val="2.4691358024691357E-2"/>
          <c:y val="0.32444484748597435"/>
          <c:w val="0.95286195286195285"/>
          <c:h val="0.55961308824621336"/>
        </c:manualLayout>
      </c:layout>
      <c:barChart>
        <c:barDir val="bar"/>
        <c:grouping val="stacked"/>
        <c:varyColors val="0"/>
        <c:ser>
          <c:idx val="0"/>
          <c:order val="0"/>
          <c:invertIfNegative val="0"/>
          <c:dLbls>
            <c:showLegendKey val="0"/>
            <c:showVal val="1"/>
            <c:showCatName val="0"/>
            <c:showSerName val="0"/>
            <c:showPercent val="0"/>
            <c:showBubbleSize val="0"/>
            <c:showLeaderLines val="0"/>
          </c:dLbls>
          <c:val>
            <c:numRef>
              <c:f>'2013 - Ciclo de Operação'!$B$49</c:f>
              <c:numCache>
                <c:formatCode>0</c:formatCode>
                <c:ptCount val="1"/>
                <c:pt idx="0">
                  <c:v>1752</c:v>
                </c:pt>
              </c:numCache>
            </c:numRef>
          </c:val>
        </c:ser>
        <c:ser>
          <c:idx val="1"/>
          <c:order val="1"/>
          <c:invertIfNegative val="0"/>
          <c:dLbls>
            <c:dLbl>
              <c:idx val="0"/>
              <c:layout>
                <c:manualLayout>
                  <c:x val="0"/>
                  <c:y val="-0.16401350076485824"/>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'2013 - Ciclo de Operação'!$I$49</c:f>
              <c:numCache>
                <c:formatCode>General</c:formatCode>
                <c:ptCount val="1"/>
                <c:pt idx="0">
                  <c:v>2</c:v>
                </c:pt>
              </c:numCache>
            </c:numRef>
          </c:val>
        </c:ser>
        <c:ser>
          <c:idx val="2"/>
          <c:order val="2"/>
          <c:invertIfNegative val="0"/>
          <c:dLbls>
            <c:showLegendKey val="0"/>
            <c:showVal val="1"/>
            <c:showCatName val="0"/>
            <c:showSerName val="0"/>
            <c:showPercent val="0"/>
            <c:showBubbleSize val="0"/>
            <c:showLeaderLines val="0"/>
          </c:dLbls>
          <c:val>
            <c:numRef>
              <c:f>'2013 - Ciclo de Operação'!$B$50</c:f>
              <c:numCache>
                <c:formatCode>0</c:formatCode>
                <c:ptCount val="1"/>
                <c:pt idx="0">
                  <c:v>1536</c:v>
                </c:pt>
              </c:numCache>
            </c:numRef>
          </c:val>
        </c:ser>
        <c:ser>
          <c:idx val="3"/>
          <c:order val="3"/>
          <c:invertIfNegative val="0"/>
          <c:dLbls>
            <c:dLbl>
              <c:idx val="0"/>
              <c:layout>
                <c:manualLayout>
                  <c:x val="0"/>
                  <c:y val="-0.16401350076485824"/>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'2013 - Ciclo de Operação'!$I$50</c:f>
              <c:numCache>
                <c:formatCode>General</c:formatCode>
                <c:ptCount val="1"/>
                <c:pt idx="0">
                  <c:v>26</c:v>
                </c:pt>
              </c:numCache>
            </c:numRef>
          </c:val>
        </c:ser>
        <c:ser>
          <c:idx val="4"/>
          <c:order val="4"/>
          <c:invertIfNegative val="0"/>
          <c:dLbls>
            <c:showLegendKey val="0"/>
            <c:showVal val="1"/>
            <c:showCatName val="0"/>
            <c:showSerName val="0"/>
            <c:showPercent val="0"/>
            <c:showBubbleSize val="0"/>
            <c:showLeaderLines val="0"/>
          </c:dLbls>
          <c:val>
            <c:numRef>
              <c:f>'2013 - Ciclo de Operação'!$B$51</c:f>
              <c:numCache>
                <c:formatCode>0</c:formatCode>
                <c:ptCount val="1"/>
                <c:pt idx="0">
                  <c:v>3360</c:v>
                </c:pt>
              </c:numCache>
            </c:numRef>
          </c:val>
        </c:ser>
        <c:ser>
          <c:idx val="5"/>
          <c:order val="5"/>
          <c:invertIfNegative val="0"/>
          <c:dLbls>
            <c:dLbl>
              <c:idx val="0"/>
              <c:layout>
                <c:manualLayout>
                  <c:x val="0"/>
                  <c:y val="-0.16401350076485824"/>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'2013 - Ciclo de Operação'!$I$51</c:f>
              <c:numCache>
                <c:formatCode>General</c:formatCode>
                <c:ptCount val="1"/>
                <c:pt idx="0">
                  <c:v>1</c:v>
                </c:pt>
              </c:numCache>
            </c:numRef>
          </c:val>
        </c:ser>
        <c:ser>
          <c:idx val="6"/>
          <c:order val="6"/>
          <c:invertIfNegative val="0"/>
          <c:dLbls>
            <c:showLegendKey val="0"/>
            <c:showVal val="1"/>
            <c:showCatName val="0"/>
            <c:showSerName val="0"/>
            <c:showPercent val="0"/>
            <c:showBubbleSize val="0"/>
            <c:showLeaderLines val="0"/>
          </c:dLbls>
          <c:val>
            <c:numRef>
              <c:f>'2013 - Ciclo de Operação'!$B$52</c:f>
              <c:numCache>
                <c:formatCode>0</c:formatCode>
                <c:ptCount val="1"/>
                <c:pt idx="0">
                  <c:v>1992</c:v>
                </c:pt>
              </c:numCache>
            </c:numRef>
          </c:val>
        </c:ser>
        <c:dLbls>
          <c:showLegendKey val="0"/>
          <c:showVal val="0"/>
          <c:showCatName val="0"/>
          <c:showSerName val="0"/>
          <c:showPercent val="0"/>
          <c:showBubbleSize val="0"/>
        </c:dLbls>
        <c:gapWidth val="150"/>
        <c:overlap val="100"/>
        <c:axId val="112458752"/>
        <c:axId val="112485120"/>
      </c:barChart>
      <c:catAx>
        <c:axId val="112458752"/>
        <c:scaling>
          <c:orientation val="minMax"/>
        </c:scaling>
        <c:delete val="1"/>
        <c:axPos val="l"/>
        <c:majorTickMark val="out"/>
        <c:minorTickMark val="none"/>
        <c:tickLblPos val="nextTo"/>
        <c:crossAx val="112485120"/>
        <c:crosses val="autoZero"/>
        <c:auto val="1"/>
        <c:lblAlgn val="ctr"/>
        <c:lblOffset val="100"/>
        <c:noMultiLvlLbl val="0"/>
      </c:catAx>
      <c:valAx>
        <c:axId val="112485120"/>
        <c:scaling>
          <c:orientation val="minMax"/>
        </c:scaling>
        <c:delete val="1"/>
        <c:axPos val="b"/>
        <c:numFmt formatCode="0" sourceLinked="1"/>
        <c:majorTickMark val="out"/>
        <c:minorTickMark val="none"/>
        <c:tickLblPos val="nextTo"/>
        <c:crossAx val="112458752"/>
        <c:crosses val="autoZero"/>
        <c:crossBetween val="between"/>
      </c:valAx>
      <c:spPr>
        <a:noFill/>
        <a:ln w="25400">
          <a:noFill/>
        </a:ln>
      </c:spPr>
    </c:plotArea>
    <c:plotVisOnly val="1"/>
    <c:dispBlanksAs val="gap"/>
    <c:showDLblsOverMax val="0"/>
  </c:chart>
  <c:printSettings>
    <c:headerFooter/>
    <c:pageMargins b="0.75" l="0.7" r="0.7" t="0.75" header="0.3" footer="0.3"/>
    <c:pageSetup/>
  </c:printSettings>
  <c:userShapes r:id="rId1"/>
</c:chartSpace>
</file>

<file path=xl/charts/chart52.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42"/>
    </mc:Choice>
    <mc:Fallback>
      <c:style val="42"/>
    </mc:Fallback>
  </mc:AlternateContent>
  <c:chart>
    <c:title>
      <c:tx>
        <c:rich>
          <a:bodyPr/>
          <a:lstStyle/>
          <a:p>
            <a:pPr>
              <a:defRPr/>
            </a:pPr>
            <a:r>
              <a:rPr lang="en-US"/>
              <a:t>Urb. - Ribeira</a:t>
            </a:r>
          </a:p>
        </c:rich>
      </c:tx>
      <c:layout/>
      <c:overlay val="0"/>
    </c:title>
    <c:autoTitleDeleted val="0"/>
    <c:plotArea>
      <c:layout>
        <c:manualLayout>
          <c:layoutTarget val="inner"/>
          <c:xMode val="edge"/>
          <c:yMode val="edge"/>
          <c:x val="2.4691358024691357E-2"/>
          <c:y val="0.32444484748597435"/>
          <c:w val="0.95286195286195285"/>
          <c:h val="0.55961308824621336"/>
        </c:manualLayout>
      </c:layout>
      <c:barChart>
        <c:barDir val="bar"/>
        <c:grouping val="stacked"/>
        <c:varyColors val="0"/>
        <c:ser>
          <c:idx val="0"/>
          <c:order val="0"/>
          <c:invertIfNegative val="0"/>
          <c:dLbls>
            <c:showLegendKey val="0"/>
            <c:showVal val="1"/>
            <c:showCatName val="0"/>
            <c:showSerName val="0"/>
            <c:showPercent val="0"/>
            <c:showBubbleSize val="0"/>
            <c:showLeaderLines val="0"/>
          </c:dLbls>
          <c:val>
            <c:numRef>
              <c:f>'2013 - Ciclo de Operação'!$B$53</c:f>
              <c:numCache>
                <c:formatCode>0</c:formatCode>
                <c:ptCount val="1"/>
                <c:pt idx="0">
                  <c:v>1464</c:v>
                </c:pt>
              </c:numCache>
            </c:numRef>
          </c:val>
        </c:ser>
        <c:ser>
          <c:idx val="1"/>
          <c:order val="1"/>
          <c:invertIfNegative val="0"/>
          <c:dLbls>
            <c:dLbl>
              <c:idx val="0"/>
              <c:layout>
                <c:manualLayout>
                  <c:x val="0"/>
                  <c:y val="-0.16401350076485824"/>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'2013 - Ciclo de Operação'!$I$53</c:f>
              <c:numCache>
                <c:formatCode>General</c:formatCode>
                <c:ptCount val="1"/>
                <c:pt idx="0">
                  <c:v>9.5</c:v>
                </c:pt>
              </c:numCache>
            </c:numRef>
          </c:val>
        </c:ser>
        <c:ser>
          <c:idx val="2"/>
          <c:order val="2"/>
          <c:invertIfNegative val="0"/>
          <c:dLbls>
            <c:showLegendKey val="0"/>
            <c:showVal val="1"/>
            <c:showCatName val="0"/>
            <c:showSerName val="0"/>
            <c:showPercent val="0"/>
            <c:showBubbleSize val="0"/>
            <c:showLeaderLines val="0"/>
          </c:dLbls>
          <c:val>
            <c:numRef>
              <c:f>'2013 - Ciclo de Operação'!$B$54</c:f>
              <c:numCache>
                <c:formatCode>0</c:formatCode>
                <c:ptCount val="1"/>
                <c:pt idx="0">
                  <c:v>7176</c:v>
                </c:pt>
              </c:numCache>
            </c:numRef>
          </c:val>
        </c:ser>
        <c:dLbls>
          <c:showLegendKey val="0"/>
          <c:showVal val="0"/>
          <c:showCatName val="0"/>
          <c:showSerName val="0"/>
          <c:showPercent val="0"/>
          <c:showBubbleSize val="0"/>
        </c:dLbls>
        <c:gapWidth val="150"/>
        <c:overlap val="100"/>
        <c:axId val="112517120"/>
        <c:axId val="112518656"/>
      </c:barChart>
      <c:catAx>
        <c:axId val="112517120"/>
        <c:scaling>
          <c:orientation val="minMax"/>
        </c:scaling>
        <c:delete val="1"/>
        <c:axPos val="l"/>
        <c:majorTickMark val="out"/>
        <c:minorTickMark val="none"/>
        <c:tickLblPos val="nextTo"/>
        <c:crossAx val="112518656"/>
        <c:crosses val="autoZero"/>
        <c:auto val="1"/>
        <c:lblAlgn val="ctr"/>
        <c:lblOffset val="100"/>
        <c:noMultiLvlLbl val="0"/>
      </c:catAx>
      <c:valAx>
        <c:axId val="112518656"/>
        <c:scaling>
          <c:orientation val="minMax"/>
        </c:scaling>
        <c:delete val="1"/>
        <c:axPos val="b"/>
        <c:numFmt formatCode="0" sourceLinked="1"/>
        <c:majorTickMark val="out"/>
        <c:minorTickMark val="none"/>
        <c:tickLblPos val="nextTo"/>
        <c:crossAx val="112517120"/>
        <c:crosses val="autoZero"/>
        <c:crossBetween val="between"/>
      </c:valAx>
      <c:spPr>
        <a:noFill/>
        <a:ln w="25400">
          <a:noFill/>
        </a:ln>
      </c:spPr>
    </c:plotArea>
    <c:plotVisOnly val="1"/>
    <c:dispBlanksAs val="gap"/>
    <c:showDLblsOverMax val="0"/>
  </c:chart>
  <c:printSettings>
    <c:headerFooter/>
    <c:pageMargins b="0.75" l="0.7" r="0.7" t="0.75" header="0.3" footer="0.3"/>
    <c:pageSetup/>
  </c:printSettings>
  <c:userShapes r:id="rId1"/>
</c:chartSpace>
</file>

<file path=xl/charts/chart53.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42"/>
    </mc:Choice>
    <mc:Fallback>
      <c:style val="42"/>
    </mc:Fallback>
  </mc:AlternateContent>
  <c:chart>
    <c:title>
      <c:tx>
        <c:rich>
          <a:bodyPr/>
          <a:lstStyle/>
          <a:p>
            <a:pPr>
              <a:defRPr/>
            </a:pPr>
            <a:r>
              <a:rPr lang="en-US"/>
              <a:t>Urb. - Encosta dos cedros</a:t>
            </a:r>
          </a:p>
        </c:rich>
      </c:tx>
      <c:layout/>
      <c:overlay val="0"/>
    </c:title>
    <c:autoTitleDeleted val="0"/>
    <c:plotArea>
      <c:layout>
        <c:manualLayout>
          <c:layoutTarget val="inner"/>
          <c:xMode val="edge"/>
          <c:yMode val="edge"/>
          <c:x val="2.4691358024691357E-2"/>
          <c:y val="0.32444484748597435"/>
          <c:w val="0.95286195286195285"/>
          <c:h val="0.55961308824621336"/>
        </c:manualLayout>
      </c:layout>
      <c:barChart>
        <c:barDir val="bar"/>
        <c:grouping val="stacked"/>
        <c:varyColors val="0"/>
        <c:ser>
          <c:idx val="0"/>
          <c:order val="0"/>
          <c:invertIfNegative val="0"/>
          <c:dLbls>
            <c:showLegendKey val="0"/>
            <c:showVal val="1"/>
            <c:showCatName val="0"/>
            <c:showSerName val="0"/>
            <c:showPercent val="0"/>
            <c:showBubbleSize val="0"/>
            <c:showLeaderLines val="0"/>
          </c:dLbls>
          <c:val>
            <c:numRef>
              <c:f>'2013 - Ciclo de Operação'!$B$55</c:f>
              <c:numCache>
                <c:formatCode>0</c:formatCode>
                <c:ptCount val="1"/>
                <c:pt idx="0">
                  <c:v>2568</c:v>
                </c:pt>
              </c:numCache>
            </c:numRef>
          </c:val>
        </c:ser>
        <c:ser>
          <c:idx val="1"/>
          <c:order val="1"/>
          <c:invertIfNegative val="0"/>
          <c:dLbls>
            <c:dLbl>
              <c:idx val="0"/>
              <c:layout>
                <c:manualLayout>
                  <c:x val="2.4791923533118497E-3"/>
                  <c:y val="-0.16401350076485824"/>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'2013 - Ciclo de Operação'!$I$55</c:f>
              <c:numCache>
                <c:formatCode>General</c:formatCode>
                <c:ptCount val="1"/>
                <c:pt idx="0">
                  <c:v>6</c:v>
                </c:pt>
              </c:numCache>
            </c:numRef>
          </c:val>
        </c:ser>
        <c:ser>
          <c:idx val="2"/>
          <c:order val="2"/>
          <c:invertIfNegative val="0"/>
          <c:dLbls>
            <c:showLegendKey val="0"/>
            <c:showVal val="1"/>
            <c:showCatName val="0"/>
            <c:showSerName val="0"/>
            <c:showPercent val="0"/>
            <c:showBubbleSize val="0"/>
            <c:showLeaderLines val="0"/>
          </c:dLbls>
          <c:val>
            <c:numRef>
              <c:f>'2013 - Ciclo de Operação'!$B$56</c:f>
              <c:numCache>
                <c:formatCode>0</c:formatCode>
                <c:ptCount val="1"/>
                <c:pt idx="0">
                  <c:v>5568</c:v>
                </c:pt>
              </c:numCache>
            </c:numRef>
          </c:val>
        </c:ser>
        <c:ser>
          <c:idx val="3"/>
          <c:order val="3"/>
          <c:invertIfNegative val="0"/>
          <c:dLbls>
            <c:dLbl>
              <c:idx val="0"/>
              <c:layout>
                <c:manualLayout>
                  <c:x val="0"/>
                  <c:y val="-0.15581282572661531"/>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'2013 - Ciclo de Operação'!$I$56</c:f>
              <c:numCache>
                <c:formatCode>General</c:formatCode>
                <c:ptCount val="1"/>
                <c:pt idx="0">
                  <c:v>11</c:v>
                </c:pt>
              </c:numCache>
            </c:numRef>
          </c:val>
        </c:ser>
        <c:ser>
          <c:idx val="4"/>
          <c:order val="4"/>
          <c:invertIfNegative val="0"/>
          <c:dLbls>
            <c:showLegendKey val="0"/>
            <c:showVal val="1"/>
            <c:showCatName val="0"/>
            <c:showSerName val="0"/>
            <c:showPercent val="0"/>
            <c:showBubbleSize val="0"/>
            <c:showLeaderLines val="0"/>
          </c:dLbls>
          <c:val>
            <c:numRef>
              <c:f>'2013 - Ciclo de Operação'!$B$57</c:f>
              <c:numCache>
                <c:formatCode>0</c:formatCode>
                <c:ptCount val="1"/>
                <c:pt idx="0">
                  <c:v>504</c:v>
                </c:pt>
              </c:numCache>
            </c:numRef>
          </c:val>
        </c:ser>
        <c:dLbls>
          <c:showLegendKey val="0"/>
          <c:showVal val="0"/>
          <c:showCatName val="0"/>
          <c:showSerName val="0"/>
          <c:showPercent val="0"/>
          <c:showBubbleSize val="0"/>
        </c:dLbls>
        <c:gapWidth val="150"/>
        <c:overlap val="100"/>
        <c:axId val="112581632"/>
        <c:axId val="112587520"/>
      </c:barChart>
      <c:catAx>
        <c:axId val="112581632"/>
        <c:scaling>
          <c:orientation val="minMax"/>
        </c:scaling>
        <c:delete val="1"/>
        <c:axPos val="l"/>
        <c:majorTickMark val="out"/>
        <c:minorTickMark val="none"/>
        <c:tickLblPos val="nextTo"/>
        <c:crossAx val="112587520"/>
        <c:crosses val="autoZero"/>
        <c:auto val="1"/>
        <c:lblAlgn val="ctr"/>
        <c:lblOffset val="100"/>
        <c:noMultiLvlLbl val="0"/>
      </c:catAx>
      <c:valAx>
        <c:axId val="112587520"/>
        <c:scaling>
          <c:orientation val="minMax"/>
        </c:scaling>
        <c:delete val="1"/>
        <c:axPos val="b"/>
        <c:numFmt formatCode="0" sourceLinked="1"/>
        <c:majorTickMark val="out"/>
        <c:minorTickMark val="none"/>
        <c:tickLblPos val="nextTo"/>
        <c:crossAx val="112581632"/>
        <c:crosses val="autoZero"/>
        <c:crossBetween val="between"/>
      </c:valAx>
      <c:spPr>
        <a:noFill/>
        <a:ln w="25400">
          <a:noFill/>
        </a:ln>
      </c:spPr>
    </c:plotArea>
    <c:plotVisOnly val="1"/>
    <c:dispBlanksAs val="gap"/>
    <c:showDLblsOverMax val="0"/>
  </c:chart>
  <c:printSettings>
    <c:headerFooter/>
    <c:pageMargins b="0.75" l="0.7" r="0.7" t="0.75" header="0.3" footer="0.3"/>
    <c:pageSetup/>
  </c:printSettings>
  <c:userShapes r:id="rId1"/>
</c:chartSpace>
</file>

<file path=xl/charts/chart54.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42"/>
    </mc:Choice>
    <mc:Fallback>
      <c:style val="42"/>
    </mc:Fallback>
  </mc:AlternateContent>
  <c:chart>
    <c:title>
      <c:tx>
        <c:rich>
          <a:bodyPr/>
          <a:lstStyle/>
          <a:p>
            <a:pPr>
              <a:defRPr/>
            </a:pPr>
            <a:r>
              <a:rPr lang="en-US"/>
              <a:t>Urb. - Estacionamento auto</a:t>
            </a:r>
          </a:p>
        </c:rich>
      </c:tx>
      <c:layout/>
      <c:overlay val="0"/>
    </c:title>
    <c:autoTitleDeleted val="0"/>
    <c:plotArea>
      <c:layout>
        <c:manualLayout>
          <c:layoutTarget val="inner"/>
          <c:xMode val="edge"/>
          <c:yMode val="edge"/>
          <c:x val="2.4691358024691357E-2"/>
          <c:y val="0.32444484748597435"/>
          <c:w val="0.95286195286195285"/>
          <c:h val="0.55961308824621336"/>
        </c:manualLayout>
      </c:layout>
      <c:barChart>
        <c:barDir val="bar"/>
        <c:grouping val="stacked"/>
        <c:varyColors val="0"/>
        <c:ser>
          <c:idx val="0"/>
          <c:order val="0"/>
          <c:invertIfNegative val="0"/>
          <c:dLbls>
            <c:showLegendKey val="0"/>
            <c:showVal val="1"/>
            <c:showCatName val="0"/>
            <c:showSerName val="0"/>
            <c:showPercent val="0"/>
            <c:showBubbleSize val="0"/>
            <c:showLeaderLines val="0"/>
          </c:dLbls>
          <c:val>
            <c:numRef>
              <c:f>'2013 - Ciclo de Operação'!$B$58</c:f>
              <c:numCache>
                <c:formatCode>0</c:formatCode>
                <c:ptCount val="1"/>
                <c:pt idx="0">
                  <c:v>3768</c:v>
                </c:pt>
              </c:numCache>
            </c:numRef>
          </c:val>
        </c:ser>
        <c:ser>
          <c:idx val="1"/>
          <c:order val="1"/>
          <c:invertIfNegative val="0"/>
          <c:dLbls>
            <c:dLbl>
              <c:idx val="0"/>
              <c:layout>
                <c:manualLayout>
                  <c:x val="-2.4763899616120559E-3"/>
                  <c:y val="-0.15581282572661531"/>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'2013 - Ciclo de Operação'!$I$58</c:f>
              <c:numCache>
                <c:formatCode>General</c:formatCode>
                <c:ptCount val="1"/>
                <c:pt idx="0">
                  <c:v>10.5</c:v>
                </c:pt>
              </c:numCache>
            </c:numRef>
          </c:val>
        </c:ser>
        <c:ser>
          <c:idx val="2"/>
          <c:order val="2"/>
          <c:invertIfNegative val="0"/>
          <c:dLbls>
            <c:showLegendKey val="0"/>
            <c:showVal val="1"/>
            <c:showCatName val="0"/>
            <c:showSerName val="0"/>
            <c:showPercent val="0"/>
            <c:showBubbleSize val="0"/>
            <c:showLeaderLines val="0"/>
          </c:dLbls>
          <c:val>
            <c:numRef>
              <c:f>'2013 - Ciclo de Operação'!$B$59</c:f>
              <c:numCache>
                <c:formatCode>0</c:formatCode>
                <c:ptCount val="1"/>
                <c:pt idx="0">
                  <c:v>4872</c:v>
                </c:pt>
              </c:numCache>
            </c:numRef>
          </c:val>
        </c:ser>
        <c:dLbls>
          <c:showLegendKey val="0"/>
          <c:showVal val="0"/>
          <c:showCatName val="0"/>
          <c:showSerName val="0"/>
          <c:showPercent val="0"/>
          <c:showBubbleSize val="0"/>
        </c:dLbls>
        <c:gapWidth val="150"/>
        <c:overlap val="100"/>
        <c:axId val="112717824"/>
        <c:axId val="112719360"/>
      </c:barChart>
      <c:catAx>
        <c:axId val="112717824"/>
        <c:scaling>
          <c:orientation val="minMax"/>
        </c:scaling>
        <c:delete val="1"/>
        <c:axPos val="l"/>
        <c:majorTickMark val="out"/>
        <c:minorTickMark val="none"/>
        <c:tickLblPos val="nextTo"/>
        <c:crossAx val="112719360"/>
        <c:crosses val="autoZero"/>
        <c:auto val="1"/>
        <c:lblAlgn val="ctr"/>
        <c:lblOffset val="100"/>
        <c:noMultiLvlLbl val="0"/>
      </c:catAx>
      <c:valAx>
        <c:axId val="112719360"/>
        <c:scaling>
          <c:orientation val="minMax"/>
        </c:scaling>
        <c:delete val="1"/>
        <c:axPos val="b"/>
        <c:numFmt formatCode="0" sourceLinked="1"/>
        <c:majorTickMark val="out"/>
        <c:minorTickMark val="none"/>
        <c:tickLblPos val="nextTo"/>
        <c:crossAx val="112717824"/>
        <c:crosses val="autoZero"/>
        <c:crossBetween val="between"/>
      </c:valAx>
      <c:spPr>
        <a:noFill/>
        <a:ln w="25400">
          <a:noFill/>
        </a:ln>
      </c:spPr>
    </c:plotArea>
    <c:plotVisOnly val="1"/>
    <c:dispBlanksAs val="gap"/>
    <c:showDLblsOverMax val="0"/>
  </c:chart>
  <c:printSettings>
    <c:headerFooter/>
    <c:pageMargins b="0.75" l="0.7" r="0.7" t="0.75" header="0.3" footer="0.3"/>
    <c:pageSetup/>
  </c:printSettings>
  <c:userShapes r:id="rId1"/>
</c:chartSpace>
</file>

<file path=xl/charts/chart55.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Total de avarias por dia - 2012</c:v>
          </c:tx>
          <c:invertIfNegative val="0"/>
          <c:dLbls>
            <c:numFmt formatCode="#,##0;\-#,##0" sourceLinked="0"/>
            <c:txPr>
              <a:bodyPr/>
              <a:lstStyle/>
              <a:p>
                <a:pPr>
                  <a:defRPr b="1"/>
                </a:pPr>
                <a:endParaRPr lang="pt-PT"/>
              </a:p>
            </c:txPr>
            <c:showLegendKey val="0"/>
            <c:showVal val="1"/>
            <c:showCatName val="0"/>
            <c:showSerName val="0"/>
            <c:showPercent val="0"/>
            <c:showBubbleSize val="0"/>
            <c:showLeaderLines val="0"/>
          </c:dLbls>
          <c:cat>
            <c:numRef>
              <c:f>'2012 - Gráficos'!$B$6:$B$23</c:f>
              <c:numCache>
                <c:formatCode>General</c:formatCode>
                <c:ptCount val="18"/>
                <c:pt idx="0">
                  <c:v>8</c:v>
                </c:pt>
                <c:pt idx="1">
                  <c:v>10</c:v>
                </c:pt>
                <c:pt idx="2">
                  <c:v>11</c:v>
                </c:pt>
                <c:pt idx="3">
                  <c:v>12</c:v>
                </c:pt>
                <c:pt idx="4">
                  <c:v>17</c:v>
                </c:pt>
                <c:pt idx="5">
                  <c:v>18</c:v>
                </c:pt>
                <c:pt idx="6">
                  <c:v>22</c:v>
                </c:pt>
                <c:pt idx="7">
                  <c:v>27</c:v>
                </c:pt>
                <c:pt idx="8">
                  <c:v>28</c:v>
                </c:pt>
                <c:pt idx="9">
                  <c:v>33</c:v>
                </c:pt>
                <c:pt idx="10">
                  <c:v>36</c:v>
                </c:pt>
                <c:pt idx="11">
                  <c:v>59</c:v>
                </c:pt>
                <c:pt idx="12">
                  <c:v>63</c:v>
                </c:pt>
                <c:pt idx="13">
                  <c:v>64</c:v>
                </c:pt>
                <c:pt idx="14">
                  <c:v>68</c:v>
                </c:pt>
                <c:pt idx="15">
                  <c:v>72</c:v>
                </c:pt>
                <c:pt idx="16">
                  <c:v>75</c:v>
                </c:pt>
                <c:pt idx="17">
                  <c:v>81</c:v>
                </c:pt>
              </c:numCache>
            </c:numRef>
          </c:cat>
          <c:val>
            <c:numRef>
              <c:f>'2012 - Gráficos'!$C$6:$C$23</c:f>
              <c:numCache>
                <c:formatCode>0</c:formatCode>
                <c:ptCount val="18"/>
                <c:pt idx="0">
                  <c:v>1</c:v>
                </c:pt>
                <c:pt idx="1">
                  <c:v>1</c:v>
                </c:pt>
                <c:pt idx="2">
                  <c:v>1</c:v>
                </c:pt>
                <c:pt idx="3">
                  <c:v>1</c:v>
                </c:pt>
                <c:pt idx="4">
                  <c:v>1</c:v>
                </c:pt>
                <c:pt idx="5">
                  <c:v>2</c:v>
                </c:pt>
                <c:pt idx="6">
                  <c:v>1</c:v>
                </c:pt>
                <c:pt idx="7">
                  <c:v>2</c:v>
                </c:pt>
                <c:pt idx="8">
                  <c:v>1</c:v>
                </c:pt>
                <c:pt idx="9">
                  <c:v>1</c:v>
                </c:pt>
                <c:pt idx="10">
                  <c:v>1</c:v>
                </c:pt>
                <c:pt idx="11">
                  <c:v>1</c:v>
                </c:pt>
                <c:pt idx="12">
                  <c:v>1</c:v>
                </c:pt>
                <c:pt idx="13">
                  <c:v>1</c:v>
                </c:pt>
                <c:pt idx="14">
                  <c:v>1</c:v>
                </c:pt>
                <c:pt idx="15">
                  <c:v>1</c:v>
                </c:pt>
                <c:pt idx="16">
                  <c:v>1</c:v>
                </c:pt>
                <c:pt idx="17">
                  <c:v>2</c:v>
                </c:pt>
              </c:numCache>
            </c:numRef>
          </c:val>
        </c:ser>
        <c:dLbls>
          <c:showLegendKey val="0"/>
          <c:showVal val="0"/>
          <c:showCatName val="0"/>
          <c:showSerName val="0"/>
          <c:showPercent val="0"/>
          <c:showBubbleSize val="0"/>
        </c:dLbls>
        <c:gapWidth val="300"/>
        <c:axId val="109518848"/>
        <c:axId val="109520768"/>
      </c:barChart>
      <c:catAx>
        <c:axId val="109518848"/>
        <c:scaling>
          <c:orientation val="minMax"/>
        </c:scaling>
        <c:delete val="0"/>
        <c:axPos val="b"/>
        <c:title>
          <c:tx>
            <c:rich>
              <a:bodyPr/>
              <a:lstStyle/>
              <a:p>
                <a:pPr>
                  <a:defRPr/>
                </a:pPr>
                <a:r>
                  <a:rPr lang="pt-PT"/>
                  <a:t>Numero</a:t>
                </a:r>
                <a:r>
                  <a:rPr lang="pt-PT" baseline="0"/>
                  <a:t> de dias/ano</a:t>
                </a:r>
                <a:endParaRPr lang="pt-PT"/>
              </a:p>
            </c:rich>
          </c:tx>
          <c:layout/>
          <c:overlay val="0"/>
        </c:title>
        <c:numFmt formatCode="General" sourceLinked="1"/>
        <c:majorTickMark val="none"/>
        <c:minorTickMark val="none"/>
        <c:tickLblPos val="nextTo"/>
        <c:txPr>
          <a:bodyPr rot="-5400000" vert="horz"/>
          <a:lstStyle/>
          <a:p>
            <a:pPr>
              <a:defRPr/>
            </a:pPr>
            <a:endParaRPr lang="pt-PT"/>
          </a:p>
        </c:txPr>
        <c:crossAx val="109520768"/>
        <c:crosses val="autoZero"/>
        <c:auto val="1"/>
        <c:lblAlgn val="ctr"/>
        <c:lblOffset val="100"/>
        <c:noMultiLvlLbl val="0"/>
      </c:catAx>
      <c:valAx>
        <c:axId val="109520768"/>
        <c:scaling>
          <c:orientation val="minMax"/>
        </c:scaling>
        <c:delete val="0"/>
        <c:axPos val="l"/>
        <c:majorGridlines/>
        <c:minorGridlines/>
        <c:title>
          <c:tx>
            <c:rich>
              <a:bodyPr/>
              <a:lstStyle/>
              <a:p>
                <a:pPr>
                  <a:defRPr/>
                </a:pPr>
                <a:r>
                  <a:rPr lang="pt-PT"/>
                  <a:t>Total</a:t>
                </a:r>
                <a:r>
                  <a:rPr lang="pt-PT" baseline="0"/>
                  <a:t> de avarias</a:t>
                </a:r>
                <a:endParaRPr lang="pt-PT"/>
              </a:p>
            </c:rich>
          </c:tx>
          <c:layout/>
          <c:overlay val="0"/>
        </c:title>
        <c:numFmt formatCode="0" sourceLinked="1"/>
        <c:majorTickMark val="out"/>
        <c:minorTickMark val="none"/>
        <c:tickLblPos val="nextTo"/>
        <c:crossAx val="109518848"/>
        <c:crosses val="autoZero"/>
        <c:crossBetween val="between"/>
      </c:valAx>
    </c:plotArea>
    <c:legend>
      <c:legendPos val="r"/>
      <c:layout/>
      <c:overlay val="0"/>
    </c:legend>
    <c:plotVisOnly val="1"/>
    <c:dispBlanksAs val="gap"/>
    <c:showDLblsOverMax val="0"/>
  </c:chart>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Total de avarias combustivel fossil 31</c:v>
          </c:tx>
          <c:invertIfNegative val="0"/>
          <c:dLbls>
            <c:numFmt formatCode="#,##0;\-#,##0" sourceLinked="0"/>
            <c:txPr>
              <a:bodyPr/>
              <a:lstStyle/>
              <a:p>
                <a:pPr>
                  <a:defRPr b="1"/>
                </a:pPr>
                <a:endParaRPr lang="pt-PT"/>
              </a:p>
            </c:txPr>
            <c:showLegendKey val="0"/>
            <c:showVal val="1"/>
            <c:showCatName val="0"/>
            <c:showSerName val="0"/>
            <c:showPercent val="0"/>
            <c:showBubbleSize val="0"/>
            <c:showLeaderLines val="0"/>
          </c:dLbls>
          <c:cat>
            <c:numRef>
              <c:f>'2012 - Gráficos'!$F$6:$F$7</c:f>
              <c:numCache>
                <c:formatCode>General</c:formatCode>
                <c:ptCount val="2"/>
                <c:pt idx="0">
                  <c:v>81</c:v>
                </c:pt>
                <c:pt idx="1">
                  <c:v>308</c:v>
                </c:pt>
              </c:numCache>
            </c:numRef>
          </c:cat>
          <c:val>
            <c:numRef>
              <c:f>'2012 - Gráficos'!$G$6:$G$7</c:f>
              <c:numCache>
                <c:formatCode>0</c:formatCode>
                <c:ptCount val="2"/>
                <c:pt idx="0">
                  <c:v>1</c:v>
                </c:pt>
                <c:pt idx="1">
                  <c:v>1</c:v>
                </c:pt>
              </c:numCache>
            </c:numRef>
          </c:val>
        </c:ser>
        <c:dLbls>
          <c:showLegendKey val="0"/>
          <c:showVal val="0"/>
          <c:showCatName val="0"/>
          <c:showSerName val="0"/>
          <c:showPercent val="0"/>
          <c:showBubbleSize val="0"/>
        </c:dLbls>
        <c:gapWidth val="300"/>
        <c:axId val="109533440"/>
        <c:axId val="109568000"/>
      </c:barChart>
      <c:catAx>
        <c:axId val="109533440"/>
        <c:scaling>
          <c:orientation val="minMax"/>
        </c:scaling>
        <c:delete val="0"/>
        <c:axPos val="b"/>
        <c:numFmt formatCode="General" sourceLinked="1"/>
        <c:majorTickMark val="none"/>
        <c:minorTickMark val="none"/>
        <c:tickLblPos val="nextTo"/>
        <c:crossAx val="109568000"/>
        <c:crosses val="autoZero"/>
        <c:auto val="1"/>
        <c:lblAlgn val="ctr"/>
        <c:lblOffset val="100"/>
        <c:noMultiLvlLbl val="0"/>
      </c:catAx>
      <c:valAx>
        <c:axId val="109568000"/>
        <c:scaling>
          <c:orientation val="minMax"/>
        </c:scaling>
        <c:delete val="0"/>
        <c:axPos val="l"/>
        <c:majorGridlines/>
        <c:minorGridlines/>
        <c:numFmt formatCode="0" sourceLinked="1"/>
        <c:majorTickMark val="out"/>
        <c:minorTickMark val="none"/>
        <c:tickLblPos val="nextTo"/>
        <c:crossAx val="109533440"/>
        <c:crosses val="autoZero"/>
        <c:crossBetween val="between"/>
      </c:valAx>
    </c:plotArea>
    <c:legend>
      <c:legendPos val="r"/>
      <c:layout/>
      <c:overlay val="0"/>
    </c:legend>
    <c:plotVisOnly val="1"/>
    <c:dispBlanksAs val="gap"/>
    <c:showDLblsOverMax val="0"/>
  </c:chart>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Total de avarias Incinerador 2</c:v>
          </c:tx>
          <c:invertIfNegative val="0"/>
          <c:dLbls>
            <c:numFmt formatCode="#,##0;\-#,##0" sourceLinked="0"/>
            <c:txPr>
              <a:bodyPr/>
              <a:lstStyle/>
              <a:p>
                <a:pPr>
                  <a:defRPr b="1"/>
                </a:pPr>
                <a:endParaRPr lang="pt-PT"/>
              </a:p>
            </c:txPr>
            <c:showLegendKey val="0"/>
            <c:showVal val="1"/>
            <c:showCatName val="0"/>
            <c:showSerName val="0"/>
            <c:showPercent val="0"/>
            <c:showBubbleSize val="0"/>
            <c:showLeaderLines val="0"/>
          </c:dLbls>
          <c:cat>
            <c:numRef>
              <c:f>'2012 - Gráficos'!$F$9:$F$24</c:f>
              <c:numCache>
                <c:formatCode>General</c:formatCode>
                <c:ptCount val="16"/>
                <c:pt idx="0">
                  <c:v>68</c:v>
                </c:pt>
                <c:pt idx="1">
                  <c:v>72</c:v>
                </c:pt>
                <c:pt idx="2">
                  <c:v>81</c:v>
                </c:pt>
                <c:pt idx="3">
                  <c:v>99</c:v>
                </c:pt>
                <c:pt idx="4">
                  <c:v>106</c:v>
                </c:pt>
                <c:pt idx="5">
                  <c:v>108</c:v>
                </c:pt>
                <c:pt idx="6">
                  <c:v>117</c:v>
                </c:pt>
                <c:pt idx="7">
                  <c:v>144</c:v>
                </c:pt>
                <c:pt idx="8">
                  <c:v>159</c:v>
                </c:pt>
                <c:pt idx="9">
                  <c:v>163</c:v>
                </c:pt>
                <c:pt idx="10">
                  <c:v>171</c:v>
                </c:pt>
                <c:pt idx="11">
                  <c:v>173</c:v>
                </c:pt>
                <c:pt idx="12">
                  <c:v>279</c:v>
                </c:pt>
                <c:pt idx="13">
                  <c:v>281</c:v>
                </c:pt>
                <c:pt idx="14">
                  <c:v>293</c:v>
                </c:pt>
                <c:pt idx="15">
                  <c:v>303</c:v>
                </c:pt>
              </c:numCache>
            </c:numRef>
          </c:cat>
          <c:val>
            <c:numRef>
              <c:f>'2012 - Gráficos'!$G$9:$G$24</c:f>
              <c:numCache>
                <c:formatCode>0</c:formatCode>
                <c:ptCount val="16"/>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numCache>
            </c:numRef>
          </c:val>
        </c:ser>
        <c:dLbls>
          <c:showLegendKey val="0"/>
          <c:showVal val="0"/>
          <c:showCatName val="0"/>
          <c:showSerName val="0"/>
          <c:showPercent val="0"/>
          <c:showBubbleSize val="0"/>
        </c:dLbls>
        <c:gapWidth val="300"/>
        <c:axId val="110759936"/>
        <c:axId val="110761472"/>
      </c:barChart>
      <c:catAx>
        <c:axId val="110759936"/>
        <c:scaling>
          <c:orientation val="minMax"/>
        </c:scaling>
        <c:delete val="0"/>
        <c:axPos val="b"/>
        <c:numFmt formatCode="General" sourceLinked="1"/>
        <c:majorTickMark val="none"/>
        <c:minorTickMark val="none"/>
        <c:tickLblPos val="nextTo"/>
        <c:crossAx val="110761472"/>
        <c:crosses val="autoZero"/>
        <c:auto val="1"/>
        <c:lblAlgn val="ctr"/>
        <c:lblOffset val="100"/>
        <c:noMultiLvlLbl val="0"/>
      </c:catAx>
      <c:valAx>
        <c:axId val="110761472"/>
        <c:scaling>
          <c:orientation val="minMax"/>
        </c:scaling>
        <c:delete val="0"/>
        <c:axPos val="l"/>
        <c:majorGridlines/>
        <c:minorGridlines/>
        <c:numFmt formatCode="0" sourceLinked="1"/>
        <c:majorTickMark val="out"/>
        <c:minorTickMark val="none"/>
        <c:tickLblPos val="nextTo"/>
        <c:crossAx val="110759936"/>
        <c:crosses val="autoZero"/>
        <c:crossBetween val="between"/>
      </c:valAx>
    </c:plotArea>
    <c:legend>
      <c:legendPos val="r"/>
      <c:layout/>
      <c:overlay val="0"/>
    </c:legend>
    <c:plotVisOnly val="1"/>
    <c:dispBlanksAs val="gap"/>
    <c:showDLblsOverMax val="0"/>
  </c:chart>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Total de avarias Incinerador 3</c:v>
          </c:tx>
          <c:invertIfNegative val="0"/>
          <c:dLbls>
            <c:numFmt formatCode="#,##0;\-#,##0" sourceLinked="0"/>
            <c:txPr>
              <a:bodyPr/>
              <a:lstStyle/>
              <a:p>
                <a:pPr>
                  <a:defRPr b="1"/>
                </a:pPr>
                <a:endParaRPr lang="pt-PT"/>
              </a:p>
            </c:txPr>
            <c:showLegendKey val="0"/>
            <c:showVal val="1"/>
            <c:showCatName val="0"/>
            <c:showSerName val="0"/>
            <c:showPercent val="0"/>
            <c:showBubbleSize val="0"/>
            <c:showLeaderLines val="0"/>
          </c:dLbls>
          <c:cat>
            <c:numRef>
              <c:f>'2012 - Gráficos'!$F$25:$F$43</c:f>
              <c:numCache>
                <c:formatCode>General</c:formatCode>
                <c:ptCount val="19"/>
                <c:pt idx="0">
                  <c:v>8</c:v>
                </c:pt>
                <c:pt idx="1">
                  <c:v>10</c:v>
                </c:pt>
                <c:pt idx="2">
                  <c:v>11</c:v>
                </c:pt>
                <c:pt idx="3">
                  <c:v>12</c:v>
                </c:pt>
                <c:pt idx="4">
                  <c:v>22</c:v>
                </c:pt>
                <c:pt idx="5">
                  <c:v>28</c:v>
                </c:pt>
                <c:pt idx="6">
                  <c:v>33</c:v>
                </c:pt>
                <c:pt idx="7">
                  <c:v>36</c:v>
                </c:pt>
                <c:pt idx="8">
                  <c:v>59</c:v>
                </c:pt>
                <c:pt idx="9">
                  <c:v>63</c:v>
                </c:pt>
                <c:pt idx="10">
                  <c:v>64</c:v>
                </c:pt>
                <c:pt idx="11">
                  <c:v>75</c:v>
                </c:pt>
                <c:pt idx="12">
                  <c:v>113</c:v>
                </c:pt>
                <c:pt idx="13">
                  <c:v>138</c:v>
                </c:pt>
                <c:pt idx="14">
                  <c:v>160</c:v>
                </c:pt>
                <c:pt idx="15">
                  <c:v>189</c:v>
                </c:pt>
                <c:pt idx="16">
                  <c:v>257</c:v>
                </c:pt>
                <c:pt idx="17">
                  <c:v>262</c:v>
                </c:pt>
                <c:pt idx="18">
                  <c:v>273</c:v>
                </c:pt>
              </c:numCache>
            </c:numRef>
          </c:cat>
          <c:val>
            <c:numRef>
              <c:f>'2012 - Gráficos'!$G$25:$G$43</c:f>
              <c:numCache>
                <c:formatCode>0</c:formatCode>
                <c:ptCount val="19"/>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numCache>
            </c:numRef>
          </c:val>
        </c:ser>
        <c:dLbls>
          <c:showLegendKey val="0"/>
          <c:showVal val="0"/>
          <c:showCatName val="0"/>
          <c:showSerName val="0"/>
          <c:showPercent val="0"/>
          <c:showBubbleSize val="0"/>
        </c:dLbls>
        <c:gapWidth val="300"/>
        <c:axId val="110798336"/>
        <c:axId val="110799872"/>
      </c:barChart>
      <c:catAx>
        <c:axId val="110798336"/>
        <c:scaling>
          <c:orientation val="minMax"/>
        </c:scaling>
        <c:delete val="0"/>
        <c:axPos val="b"/>
        <c:numFmt formatCode="General" sourceLinked="1"/>
        <c:majorTickMark val="none"/>
        <c:minorTickMark val="none"/>
        <c:tickLblPos val="nextTo"/>
        <c:crossAx val="110799872"/>
        <c:crosses val="autoZero"/>
        <c:auto val="1"/>
        <c:lblAlgn val="ctr"/>
        <c:lblOffset val="100"/>
        <c:noMultiLvlLbl val="0"/>
      </c:catAx>
      <c:valAx>
        <c:axId val="110799872"/>
        <c:scaling>
          <c:orientation val="minMax"/>
        </c:scaling>
        <c:delete val="0"/>
        <c:axPos val="l"/>
        <c:majorGridlines/>
        <c:minorGridlines/>
        <c:numFmt formatCode="0" sourceLinked="1"/>
        <c:majorTickMark val="out"/>
        <c:minorTickMark val="none"/>
        <c:tickLblPos val="nextTo"/>
        <c:crossAx val="110798336"/>
        <c:crosses val="autoZero"/>
        <c:crossBetween val="between"/>
      </c:valAx>
    </c:plotArea>
    <c:legend>
      <c:legendPos val="r"/>
      <c:layout/>
      <c:overlay val="0"/>
    </c:legend>
    <c:plotVisOnly val="1"/>
    <c:dispBlanksAs val="gap"/>
    <c:showDLblsOverMax val="0"/>
  </c:chart>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Total de avarias Moinhos</c:v>
          </c:tx>
          <c:invertIfNegative val="0"/>
          <c:dLbls>
            <c:dLbl>
              <c:idx val="0"/>
              <c:layout/>
              <c:showLegendKey val="0"/>
              <c:showVal val="1"/>
              <c:showCatName val="0"/>
              <c:showSerName val="0"/>
              <c:showPercent val="0"/>
              <c:showBubbleSize val="0"/>
            </c:dLbl>
            <c:numFmt formatCode="#,##0;\-#,##0" sourceLinked="0"/>
            <c:txPr>
              <a:bodyPr/>
              <a:lstStyle/>
              <a:p>
                <a:pPr>
                  <a:defRPr b="1"/>
                </a:pPr>
                <a:endParaRPr lang="pt-PT"/>
              </a:p>
            </c:txPr>
            <c:showLegendKey val="0"/>
            <c:showVal val="0"/>
            <c:showCatName val="0"/>
            <c:showSerName val="0"/>
            <c:showPercent val="0"/>
            <c:showBubbleSize val="0"/>
          </c:dLbls>
          <c:cat>
            <c:numRef>
              <c:f>'2012 - Gráficos'!$F$44:$F$46</c:f>
              <c:numCache>
                <c:formatCode>General</c:formatCode>
                <c:ptCount val="3"/>
                <c:pt idx="0">
                  <c:v>17</c:v>
                </c:pt>
                <c:pt idx="1">
                  <c:v>27</c:v>
                </c:pt>
                <c:pt idx="2">
                  <c:v>118</c:v>
                </c:pt>
              </c:numCache>
            </c:numRef>
          </c:cat>
          <c:val>
            <c:numRef>
              <c:f>'2012 - Gráficos'!$G$44:$G$46</c:f>
              <c:numCache>
                <c:formatCode>0</c:formatCode>
                <c:ptCount val="3"/>
                <c:pt idx="0">
                  <c:v>1</c:v>
                </c:pt>
                <c:pt idx="1">
                  <c:v>1</c:v>
                </c:pt>
                <c:pt idx="2">
                  <c:v>1</c:v>
                </c:pt>
              </c:numCache>
            </c:numRef>
          </c:val>
        </c:ser>
        <c:dLbls>
          <c:showLegendKey val="0"/>
          <c:showVal val="0"/>
          <c:showCatName val="0"/>
          <c:showSerName val="0"/>
          <c:showPercent val="0"/>
          <c:showBubbleSize val="0"/>
        </c:dLbls>
        <c:gapWidth val="300"/>
        <c:axId val="112856448"/>
        <c:axId val="112878720"/>
      </c:barChart>
      <c:catAx>
        <c:axId val="112856448"/>
        <c:scaling>
          <c:orientation val="minMax"/>
        </c:scaling>
        <c:delete val="0"/>
        <c:axPos val="b"/>
        <c:numFmt formatCode="General" sourceLinked="1"/>
        <c:majorTickMark val="none"/>
        <c:minorTickMark val="none"/>
        <c:tickLblPos val="nextTo"/>
        <c:crossAx val="112878720"/>
        <c:crosses val="autoZero"/>
        <c:auto val="1"/>
        <c:lblAlgn val="ctr"/>
        <c:lblOffset val="100"/>
        <c:noMultiLvlLbl val="0"/>
      </c:catAx>
      <c:valAx>
        <c:axId val="112878720"/>
        <c:scaling>
          <c:orientation val="minMax"/>
        </c:scaling>
        <c:delete val="0"/>
        <c:axPos val="l"/>
        <c:majorGridlines/>
        <c:minorGridlines/>
        <c:numFmt formatCode="0" sourceLinked="1"/>
        <c:majorTickMark val="out"/>
        <c:minorTickMark val="none"/>
        <c:tickLblPos val="nextTo"/>
        <c:crossAx val="112856448"/>
        <c:crosses val="autoZero"/>
        <c:crossBetween val="between"/>
      </c:valAx>
    </c:plotArea>
    <c:legend>
      <c:legendPos val="r"/>
      <c:layout/>
      <c:overlay val="0"/>
    </c:legend>
    <c:plotVisOnly val="1"/>
    <c:dispBlanksAs val="gap"/>
    <c:showDLblsOverMax val="0"/>
  </c:chart>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Total de avarias Postos Urb.</c:v>
          </c:tx>
          <c:invertIfNegative val="0"/>
          <c:dLbls>
            <c:numFmt formatCode="#,##0;\-#,##0" sourceLinked="0"/>
            <c:txPr>
              <a:bodyPr/>
              <a:lstStyle/>
              <a:p>
                <a:pPr>
                  <a:defRPr b="1"/>
                </a:pPr>
                <a:endParaRPr lang="pt-PT"/>
              </a:p>
            </c:txPr>
            <c:showLegendKey val="0"/>
            <c:showVal val="1"/>
            <c:showCatName val="0"/>
            <c:showSerName val="0"/>
            <c:showPercent val="0"/>
            <c:showBubbleSize val="0"/>
            <c:showLeaderLines val="0"/>
          </c:dLbls>
          <c:cat>
            <c:numRef>
              <c:f>'2015 - Gráficos'!$F$21:$F$25</c:f>
              <c:numCache>
                <c:formatCode>General</c:formatCode>
                <c:ptCount val="5"/>
                <c:pt idx="0">
                  <c:v>40</c:v>
                </c:pt>
                <c:pt idx="1">
                  <c:v>124</c:v>
                </c:pt>
                <c:pt idx="2">
                  <c:v>214</c:v>
                </c:pt>
                <c:pt idx="3">
                  <c:v>319</c:v>
                </c:pt>
                <c:pt idx="4">
                  <c:v>333</c:v>
                </c:pt>
              </c:numCache>
            </c:numRef>
          </c:cat>
          <c:val>
            <c:numRef>
              <c:f>'2015 - Gráficos'!$G$21:$G$25</c:f>
              <c:numCache>
                <c:formatCode>0</c:formatCode>
                <c:ptCount val="5"/>
                <c:pt idx="0">
                  <c:v>1</c:v>
                </c:pt>
                <c:pt idx="1">
                  <c:v>1</c:v>
                </c:pt>
                <c:pt idx="2">
                  <c:v>1</c:v>
                </c:pt>
                <c:pt idx="3">
                  <c:v>1</c:v>
                </c:pt>
                <c:pt idx="4">
                  <c:v>1</c:v>
                </c:pt>
              </c:numCache>
            </c:numRef>
          </c:val>
        </c:ser>
        <c:dLbls>
          <c:showLegendKey val="0"/>
          <c:showVal val="0"/>
          <c:showCatName val="0"/>
          <c:showSerName val="0"/>
          <c:showPercent val="0"/>
          <c:showBubbleSize val="0"/>
        </c:dLbls>
        <c:gapWidth val="300"/>
        <c:axId val="106942848"/>
        <c:axId val="106944384"/>
      </c:barChart>
      <c:catAx>
        <c:axId val="106942848"/>
        <c:scaling>
          <c:orientation val="minMax"/>
        </c:scaling>
        <c:delete val="0"/>
        <c:axPos val="b"/>
        <c:numFmt formatCode="General" sourceLinked="1"/>
        <c:majorTickMark val="none"/>
        <c:minorTickMark val="none"/>
        <c:tickLblPos val="nextTo"/>
        <c:crossAx val="106944384"/>
        <c:crosses val="autoZero"/>
        <c:auto val="1"/>
        <c:lblAlgn val="ctr"/>
        <c:lblOffset val="100"/>
        <c:noMultiLvlLbl val="0"/>
      </c:catAx>
      <c:valAx>
        <c:axId val="106944384"/>
        <c:scaling>
          <c:orientation val="minMax"/>
        </c:scaling>
        <c:delete val="0"/>
        <c:axPos val="l"/>
        <c:majorGridlines/>
        <c:minorGridlines/>
        <c:numFmt formatCode="0" sourceLinked="1"/>
        <c:majorTickMark val="out"/>
        <c:minorTickMark val="none"/>
        <c:tickLblPos val="nextTo"/>
        <c:crossAx val="106942848"/>
        <c:crosses val="autoZero"/>
        <c:crossBetween val="between"/>
      </c:valAx>
    </c:plotArea>
    <c:legend>
      <c:legendPos val="r"/>
      <c:layout/>
      <c:overlay val="0"/>
    </c:legend>
    <c:plotVisOnly val="1"/>
    <c:dispBlanksAs val="gap"/>
    <c:showDLblsOverMax val="0"/>
  </c:chart>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Total de avarias Postos Urb.</c:v>
          </c:tx>
          <c:invertIfNegative val="0"/>
          <c:dLbls>
            <c:numFmt formatCode="#,##0;\-#,##0" sourceLinked="0"/>
            <c:txPr>
              <a:bodyPr/>
              <a:lstStyle/>
              <a:p>
                <a:pPr>
                  <a:defRPr b="1"/>
                </a:pPr>
                <a:endParaRPr lang="pt-PT"/>
              </a:p>
            </c:txPr>
            <c:showLegendKey val="0"/>
            <c:showVal val="1"/>
            <c:showCatName val="0"/>
            <c:showSerName val="0"/>
            <c:showPercent val="0"/>
            <c:showBubbleSize val="0"/>
            <c:showLeaderLines val="0"/>
          </c:dLbls>
          <c:cat>
            <c:numRef>
              <c:f>'2012 - Gráficos'!$F$47:$F$52</c:f>
              <c:numCache>
                <c:formatCode>General</c:formatCode>
                <c:ptCount val="6"/>
                <c:pt idx="0">
                  <c:v>27</c:v>
                </c:pt>
                <c:pt idx="1">
                  <c:v>190</c:v>
                </c:pt>
                <c:pt idx="2">
                  <c:v>192</c:v>
                </c:pt>
                <c:pt idx="3">
                  <c:v>196</c:v>
                </c:pt>
                <c:pt idx="4">
                  <c:v>257</c:v>
                </c:pt>
                <c:pt idx="5">
                  <c:v>296</c:v>
                </c:pt>
              </c:numCache>
            </c:numRef>
          </c:cat>
          <c:val>
            <c:numRef>
              <c:f>'2012 - Gráficos'!$G$47:$G$52</c:f>
              <c:numCache>
                <c:formatCode>0</c:formatCode>
                <c:ptCount val="6"/>
                <c:pt idx="0">
                  <c:v>1</c:v>
                </c:pt>
                <c:pt idx="1">
                  <c:v>1</c:v>
                </c:pt>
                <c:pt idx="2">
                  <c:v>1</c:v>
                </c:pt>
                <c:pt idx="3">
                  <c:v>1</c:v>
                </c:pt>
                <c:pt idx="4">
                  <c:v>1</c:v>
                </c:pt>
                <c:pt idx="5">
                  <c:v>1</c:v>
                </c:pt>
              </c:numCache>
            </c:numRef>
          </c:val>
        </c:ser>
        <c:dLbls>
          <c:showLegendKey val="0"/>
          <c:showVal val="0"/>
          <c:showCatName val="0"/>
          <c:showSerName val="0"/>
          <c:showPercent val="0"/>
          <c:showBubbleSize val="0"/>
        </c:dLbls>
        <c:gapWidth val="300"/>
        <c:axId val="112907392"/>
        <c:axId val="112908928"/>
      </c:barChart>
      <c:catAx>
        <c:axId val="112907392"/>
        <c:scaling>
          <c:orientation val="minMax"/>
        </c:scaling>
        <c:delete val="0"/>
        <c:axPos val="b"/>
        <c:numFmt formatCode="General" sourceLinked="1"/>
        <c:majorTickMark val="none"/>
        <c:minorTickMark val="none"/>
        <c:tickLblPos val="nextTo"/>
        <c:crossAx val="112908928"/>
        <c:crosses val="autoZero"/>
        <c:auto val="1"/>
        <c:lblAlgn val="ctr"/>
        <c:lblOffset val="100"/>
        <c:noMultiLvlLbl val="0"/>
      </c:catAx>
      <c:valAx>
        <c:axId val="112908928"/>
        <c:scaling>
          <c:orientation val="minMax"/>
        </c:scaling>
        <c:delete val="0"/>
        <c:axPos val="l"/>
        <c:majorGridlines/>
        <c:minorGridlines/>
        <c:numFmt formatCode="0" sourceLinked="1"/>
        <c:majorTickMark val="out"/>
        <c:minorTickMark val="none"/>
        <c:tickLblPos val="nextTo"/>
        <c:crossAx val="112907392"/>
        <c:crosses val="autoZero"/>
        <c:crossBetween val="between"/>
      </c:valAx>
    </c:plotArea>
    <c:legend>
      <c:legendPos val="r"/>
      <c:layout/>
      <c:overlay val="0"/>
    </c:legend>
    <c:plotVisOnly val="1"/>
    <c:dispBlanksAs val="gap"/>
    <c:showDLblsOverMax val="0"/>
  </c:chart>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Total de avarias combustivel fossil 41</c:v>
          </c:tx>
          <c:invertIfNegative val="0"/>
          <c:dLbls>
            <c:numFmt formatCode="#,##0;\-#,##0" sourceLinked="0"/>
            <c:txPr>
              <a:bodyPr/>
              <a:lstStyle/>
              <a:p>
                <a:pPr>
                  <a:defRPr b="1"/>
                </a:pPr>
                <a:endParaRPr lang="pt-PT"/>
              </a:p>
            </c:txPr>
            <c:showLegendKey val="0"/>
            <c:showVal val="1"/>
            <c:showCatName val="0"/>
            <c:showSerName val="0"/>
            <c:showPercent val="0"/>
            <c:showBubbleSize val="0"/>
            <c:showLeaderLines val="0"/>
          </c:dLbls>
          <c:cat>
            <c:numRef>
              <c:f>'2012 - Gráficos'!$F$8</c:f>
              <c:numCache>
                <c:formatCode>General</c:formatCode>
                <c:ptCount val="1"/>
                <c:pt idx="0">
                  <c:v>18</c:v>
                </c:pt>
              </c:numCache>
            </c:numRef>
          </c:cat>
          <c:val>
            <c:numRef>
              <c:f>'2012 - Gráficos'!$G$8</c:f>
              <c:numCache>
                <c:formatCode>0</c:formatCode>
                <c:ptCount val="1"/>
                <c:pt idx="0">
                  <c:v>2</c:v>
                </c:pt>
              </c:numCache>
            </c:numRef>
          </c:val>
        </c:ser>
        <c:dLbls>
          <c:showLegendKey val="0"/>
          <c:showVal val="0"/>
          <c:showCatName val="0"/>
          <c:showSerName val="0"/>
          <c:showPercent val="0"/>
          <c:showBubbleSize val="0"/>
        </c:dLbls>
        <c:gapWidth val="300"/>
        <c:axId val="113248896"/>
        <c:axId val="113254784"/>
      </c:barChart>
      <c:catAx>
        <c:axId val="113248896"/>
        <c:scaling>
          <c:orientation val="minMax"/>
        </c:scaling>
        <c:delete val="0"/>
        <c:axPos val="b"/>
        <c:numFmt formatCode="General" sourceLinked="1"/>
        <c:majorTickMark val="none"/>
        <c:minorTickMark val="none"/>
        <c:tickLblPos val="nextTo"/>
        <c:crossAx val="113254784"/>
        <c:crosses val="autoZero"/>
        <c:auto val="1"/>
        <c:lblAlgn val="ctr"/>
        <c:lblOffset val="100"/>
        <c:noMultiLvlLbl val="0"/>
      </c:catAx>
      <c:valAx>
        <c:axId val="113254784"/>
        <c:scaling>
          <c:orientation val="minMax"/>
        </c:scaling>
        <c:delete val="0"/>
        <c:axPos val="l"/>
        <c:majorGridlines/>
        <c:minorGridlines/>
        <c:numFmt formatCode="0" sourceLinked="1"/>
        <c:majorTickMark val="out"/>
        <c:minorTickMark val="none"/>
        <c:tickLblPos val="nextTo"/>
        <c:crossAx val="113248896"/>
        <c:crosses val="autoZero"/>
        <c:crossBetween val="between"/>
      </c:valAx>
    </c:plotArea>
    <c:legend>
      <c:legendPos val="r"/>
      <c:layout/>
      <c:overlay val="0"/>
    </c:legend>
    <c:plotVisOnly val="1"/>
    <c:dispBlanksAs val="gap"/>
    <c:showDLblsOverMax val="0"/>
  </c:chart>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42"/>
    </mc:Choice>
    <mc:Fallback>
      <c:style val="42"/>
    </mc:Fallback>
  </mc:AlternateContent>
  <c:chart>
    <c:title>
      <c:tx>
        <c:rich>
          <a:bodyPr/>
          <a:lstStyle/>
          <a:p>
            <a:pPr>
              <a:defRPr/>
            </a:pPr>
            <a:r>
              <a:rPr lang="en-US"/>
              <a:t>Combustivel fossil 31 - Chaminé</a:t>
            </a:r>
          </a:p>
        </c:rich>
      </c:tx>
      <c:layout/>
      <c:overlay val="0"/>
    </c:title>
    <c:autoTitleDeleted val="0"/>
    <c:plotArea>
      <c:layout>
        <c:manualLayout>
          <c:layoutTarget val="inner"/>
          <c:xMode val="edge"/>
          <c:yMode val="edge"/>
          <c:x val="2.4691358024691357E-2"/>
          <c:y val="0.32444484748597435"/>
          <c:w val="0.95286195286195285"/>
          <c:h val="0.55961308824621336"/>
        </c:manualLayout>
      </c:layout>
      <c:barChart>
        <c:barDir val="bar"/>
        <c:grouping val="stacked"/>
        <c:varyColors val="0"/>
        <c:ser>
          <c:idx val="0"/>
          <c:order val="0"/>
          <c:invertIfNegative val="0"/>
          <c:dLbls>
            <c:showLegendKey val="0"/>
            <c:showVal val="1"/>
            <c:showCatName val="0"/>
            <c:showSerName val="0"/>
            <c:showPercent val="0"/>
            <c:showBubbleSize val="0"/>
            <c:showLeaderLines val="0"/>
          </c:dLbls>
          <c:val>
            <c:numRef>
              <c:f>'2012 - Ciclo de Operação'!$B$7</c:f>
              <c:numCache>
                <c:formatCode>0</c:formatCode>
                <c:ptCount val="1"/>
                <c:pt idx="0">
                  <c:v>7392</c:v>
                </c:pt>
              </c:numCache>
            </c:numRef>
          </c:val>
        </c:ser>
        <c:ser>
          <c:idx val="1"/>
          <c:order val="1"/>
          <c:invertIfNegative val="0"/>
          <c:dLbls>
            <c:dLbl>
              <c:idx val="0"/>
              <c:layout>
                <c:manualLayout>
                  <c:x val="-2.4584240804767575E-3"/>
                  <c:y val="-0.16675441020709561"/>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'2012 - Ciclo de Operação'!$I$7</c:f>
              <c:numCache>
                <c:formatCode>General</c:formatCode>
                <c:ptCount val="1"/>
                <c:pt idx="0">
                  <c:v>2</c:v>
                </c:pt>
              </c:numCache>
            </c:numRef>
          </c:val>
        </c:ser>
        <c:ser>
          <c:idx val="2"/>
          <c:order val="2"/>
          <c:invertIfNegative val="0"/>
          <c:dLbls>
            <c:showLegendKey val="0"/>
            <c:showVal val="1"/>
            <c:showCatName val="0"/>
            <c:showSerName val="0"/>
            <c:showPercent val="0"/>
            <c:showBubbleSize val="0"/>
            <c:showLeaderLines val="0"/>
          </c:dLbls>
          <c:val>
            <c:numRef>
              <c:f>'2012 - Ciclo de Operação'!$B$8</c:f>
              <c:numCache>
                <c:formatCode>0</c:formatCode>
                <c:ptCount val="1"/>
                <c:pt idx="0">
                  <c:v>1248</c:v>
                </c:pt>
              </c:numCache>
            </c:numRef>
          </c:val>
        </c:ser>
        <c:dLbls>
          <c:showLegendKey val="0"/>
          <c:showVal val="0"/>
          <c:showCatName val="0"/>
          <c:showSerName val="0"/>
          <c:showPercent val="0"/>
          <c:showBubbleSize val="0"/>
        </c:dLbls>
        <c:gapWidth val="150"/>
        <c:overlap val="100"/>
        <c:axId val="113435392"/>
        <c:axId val="113436928"/>
      </c:barChart>
      <c:catAx>
        <c:axId val="113435392"/>
        <c:scaling>
          <c:orientation val="minMax"/>
        </c:scaling>
        <c:delete val="1"/>
        <c:axPos val="l"/>
        <c:majorTickMark val="out"/>
        <c:minorTickMark val="none"/>
        <c:tickLblPos val="nextTo"/>
        <c:crossAx val="113436928"/>
        <c:crosses val="autoZero"/>
        <c:auto val="1"/>
        <c:lblAlgn val="ctr"/>
        <c:lblOffset val="100"/>
        <c:noMultiLvlLbl val="0"/>
      </c:catAx>
      <c:valAx>
        <c:axId val="113436928"/>
        <c:scaling>
          <c:orientation val="minMax"/>
        </c:scaling>
        <c:delete val="1"/>
        <c:axPos val="b"/>
        <c:numFmt formatCode="0" sourceLinked="1"/>
        <c:majorTickMark val="out"/>
        <c:minorTickMark val="none"/>
        <c:tickLblPos val="nextTo"/>
        <c:crossAx val="113435392"/>
        <c:crosses val="autoZero"/>
        <c:crossBetween val="between"/>
      </c:valAx>
      <c:spPr>
        <a:noFill/>
        <a:ln w="25400">
          <a:noFill/>
        </a:ln>
      </c:spPr>
    </c:plotArea>
    <c:plotVisOnly val="1"/>
    <c:dispBlanksAs val="gap"/>
    <c:showDLblsOverMax val="0"/>
  </c:chart>
  <c:printSettings>
    <c:headerFooter/>
    <c:pageMargins b="0.75" l="0.7" r="0.7" t="0.75" header="0.3" footer="0.3"/>
    <c:pageSetup/>
  </c:printSettings>
  <c:userShapes r:id="rId1"/>
</c:chartSpace>
</file>

<file path=xl/charts/chart63.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42"/>
    </mc:Choice>
    <mc:Fallback>
      <c:style val="42"/>
    </mc:Fallback>
  </mc:AlternateContent>
  <c:chart>
    <c:title>
      <c:tx>
        <c:rich>
          <a:bodyPr/>
          <a:lstStyle/>
          <a:p>
            <a:pPr>
              <a:defRPr/>
            </a:pPr>
            <a:r>
              <a:rPr lang="en-US"/>
              <a:t>Combustivel fossil 31 - Precipitador</a:t>
            </a:r>
          </a:p>
        </c:rich>
      </c:tx>
      <c:layout/>
      <c:overlay val="0"/>
    </c:title>
    <c:autoTitleDeleted val="0"/>
    <c:plotArea>
      <c:layout>
        <c:manualLayout>
          <c:layoutTarget val="inner"/>
          <c:xMode val="edge"/>
          <c:yMode val="edge"/>
          <c:x val="2.4691358024691357E-2"/>
          <c:y val="0.32444484748597435"/>
          <c:w val="0.95286195286195285"/>
          <c:h val="0.55961308824621336"/>
        </c:manualLayout>
      </c:layout>
      <c:barChart>
        <c:barDir val="bar"/>
        <c:grouping val="stacked"/>
        <c:varyColors val="0"/>
        <c:ser>
          <c:idx val="0"/>
          <c:order val="0"/>
          <c:invertIfNegative val="0"/>
          <c:dLbls>
            <c:showLegendKey val="0"/>
            <c:showVal val="1"/>
            <c:showCatName val="0"/>
            <c:showSerName val="0"/>
            <c:showPercent val="0"/>
            <c:showBubbleSize val="0"/>
            <c:showLeaderLines val="0"/>
          </c:dLbls>
          <c:val>
            <c:numRef>
              <c:f>'2012 - Ciclo de Operação'!$B$9</c:f>
              <c:numCache>
                <c:formatCode>0</c:formatCode>
                <c:ptCount val="1"/>
                <c:pt idx="0">
                  <c:v>1944</c:v>
                </c:pt>
              </c:numCache>
            </c:numRef>
          </c:val>
        </c:ser>
        <c:ser>
          <c:idx val="1"/>
          <c:order val="1"/>
          <c:invertIfNegative val="0"/>
          <c:dLbls>
            <c:dLbl>
              <c:idx val="0"/>
              <c:layout>
                <c:manualLayout>
                  <c:x val="0"/>
                  <c:y val="-0.1846914944741283"/>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'2012 - Ciclo de Operação'!$I$9</c:f>
              <c:numCache>
                <c:formatCode>General</c:formatCode>
                <c:ptCount val="1"/>
                <c:pt idx="0">
                  <c:v>1</c:v>
                </c:pt>
              </c:numCache>
            </c:numRef>
          </c:val>
        </c:ser>
        <c:ser>
          <c:idx val="2"/>
          <c:order val="2"/>
          <c:invertIfNegative val="0"/>
          <c:dLbls>
            <c:showLegendKey val="0"/>
            <c:showVal val="1"/>
            <c:showCatName val="0"/>
            <c:showSerName val="0"/>
            <c:showPercent val="0"/>
            <c:showBubbleSize val="0"/>
            <c:showLeaderLines val="0"/>
          </c:dLbls>
          <c:val>
            <c:numRef>
              <c:f>'2012 - Ciclo de Operação'!$B$10</c:f>
              <c:numCache>
                <c:formatCode>0</c:formatCode>
                <c:ptCount val="1"/>
                <c:pt idx="0">
                  <c:v>6696</c:v>
                </c:pt>
              </c:numCache>
            </c:numRef>
          </c:val>
        </c:ser>
        <c:dLbls>
          <c:showLegendKey val="0"/>
          <c:showVal val="0"/>
          <c:showCatName val="0"/>
          <c:showSerName val="0"/>
          <c:showPercent val="0"/>
          <c:showBubbleSize val="0"/>
        </c:dLbls>
        <c:gapWidth val="150"/>
        <c:overlap val="100"/>
        <c:axId val="113473024"/>
        <c:axId val="113474560"/>
      </c:barChart>
      <c:catAx>
        <c:axId val="113473024"/>
        <c:scaling>
          <c:orientation val="minMax"/>
        </c:scaling>
        <c:delete val="1"/>
        <c:axPos val="l"/>
        <c:majorTickMark val="out"/>
        <c:minorTickMark val="none"/>
        <c:tickLblPos val="nextTo"/>
        <c:crossAx val="113474560"/>
        <c:crosses val="autoZero"/>
        <c:auto val="1"/>
        <c:lblAlgn val="ctr"/>
        <c:lblOffset val="100"/>
        <c:noMultiLvlLbl val="0"/>
      </c:catAx>
      <c:valAx>
        <c:axId val="113474560"/>
        <c:scaling>
          <c:orientation val="minMax"/>
        </c:scaling>
        <c:delete val="1"/>
        <c:axPos val="b"/>
        <c:numFmt formatCode="0" sourceLinked="1"/>
        <c:majorTickMark val="out"/>
        <c:minorTickMark val="none"/>
        <c:tickLblPos val="nextTo"/>
        <c:crossAx val="113473024"/>
        <c:crosses val="autoZero"/>
        <c:crossBetween val="between"/>
      </c:valAx>
      <c:spPr>
        <a:noFill/>
        <a:ln w="25400">
          <a:noFill/>
        </a:ln>
      </c:spPr>
    </c:plotArea>
    <c:plotVisOnly val="1"/>
    <c:dispBlanksAs val="gap"/>
    <c:showDLblsOverMax val="0"/>
  </c:chart>
  <c:printSettings>
    <c:headerFooter/>
    <c:pageMargins b="0.75" l="0.7" r="0.7" t="0.75" header="0.3" footer="0.3"/>
    <c:pageSetup/>
  </c:printSettings>
  <c:userShapes r:id="rId1"/>
</c:chartSpace>
</file>

<file path=xl/charts/chart64.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42"/>
    </mc:Choice>
    <mc:Fallback>
      <c:style val="42"/>
    </mc:Fallback>
  </mc:AlternateContent>
  <c:chart>
    <c:title>
      <c:tx>
        <c:rich>
          <a:bodyPr/>
          <a:lstStyle/>
          <a:p>
            <a:pPr>
              <a:defRPr/>
            </a:pPr>
            <a:r>
              <a:rPr lang="en-US"/>
              <a:t>Cmbustivel fossil 41 - Chaminé</a:t>
            </a:r>
          </a:p>
        </c:rich>
      </c:tx>
      <c:layout/>
      <c:overlay val="0"/>
    </c:title>
    <c:autoTitleDeleted val="0"/>
    <c:plotArea>
      <c:layout>
        <c:manualLayout>
          <c:layoutTarget val="inner"/>
          <c:xMode val="edge"/>
          <c:yMode val="edge"/>
          <c:x val="2.4691358024691357E-2"/>
          <c:y val="0.32444484748597435"/>
          <c:w val="0.95286195286195285"/>
          <c:h val="0.55961308824621336"/>
        </c:manualLayout>
      </c:layout>
      <c:barChart>
        <c:barDir val="bar"/>
        <c:grouping val="stacked"/>
        <c:varyColors val="0"/>
        <c:ser>
          <c:idx val="0"/>
          <c:order val="0"/>
          <c:invertIfNegative val="0"/>
          <c:dLbls>
            <c:showLegendKey val="0"/>
            <c:showVal val="1"/>
            <c:showCatName val="0"/>
            <c:showSerName val="0"/>
            <c:showPercent val="0"/>
            <c:showBubbleSize val="0"/>
            <c:showLeaderLines val="0"/>
          </c:dLbls>
          <c:val>
            <c:numRef>
              <c:f>'2012 - Ciclo de Operação'!$B$11</c:f>
              <c:numCache>
                <c:formatCode>0</c:formatCode>
                <c:ptCount val="1"/>
                <c:pt idx="0">
                  <c:v>432</c:v>
                </c:pt>
              </c:numCache>
            </c:numRef>
          </c:val>
        </c:ser>
        <c:ser>
          <c:idx val="1"/>
          <c:order val="1"/>
          <c:invertIfNegative val="0"/>
          <c:dLbls>
            <c:dLbl>
              <c:idx val="0"/>
              <c:layout>
                <c:manualLayout>
                  <c:x val="0"/>
                  <c:y val="-0.16301368104695491"/>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'2012 - Ciclo de Operação'!$I$11</c:f>
              <c:numCache>
                <c:formatCode>General</c:formatCode>
                <c:ptCount val="1"/>
                <c:pt idx="0">
                  <c:v>2.5</c:v>
                </c:pt>
              </c:numCache>
            </c:numRef>
          </c:val>
        </c:ser>
        <c:ser>
          <c:idx val="2"/>
          <c:order val="2"/>
          <c:invertIfNegative val="0"/>
          <c:dLbls>
            <c:showLegendKey val="0"/>
            <c:showVal val="1"/>
            <c:showCatName val="0"/>
            <c:showSerName val="0"/>
            <c:showPercent val="0"/>
            <c:showBubbleSize val="0"/>
            <c:showLeaderLines val="0"/>
          </c:dLbls>
          <c:val>
            <c:numRef>
              <c:f>'2012 - Ciclo de Operação'!$B$12</c:f>
              <c:numCache>
                <c:formatCode>0</c:formatCode>
                <c:ptCount val="1"/>
                <c:pt idx="0">
                  <c:v>8208</c:v>
                </c:pt>
              </c:numCache>
            </c:numRef>
          </c:val>
        </c:ser>
        <c:dLbls>
          <c:showLegendKey val="0"/>
          <c:showVal val="0"/>
          <c:showCatName val="0"/>
          <c:showSerName val="0"/>
          <c:showPercent val="0"/>
          <c:showBubbleSize val="0"/>
        </c:dLbls>
        <c:gapWidth val="150"/>
        <c:overlap val="100"/>
        <c:axId val="113928448"/>
        <c:axId val="113938432"/>
      </c:barChart>
      <c:catAx>
        <c:axId val="113928448"/>
        <c:scaling>
          <c:orientation val="minMax"/>
        </c:scaling>
        <c:delete val="1"/>
        <c:axPos val="l"/>
        <c:majorTickMark val="out"/>
        <c:minorTickMark val="none"/>
        <c:tickLblPos val="nextTo"/>
        <c:crossAx val="113938432"/>
        <c:crosses val="autoZero"/>
        <c:auto val="1"/>
        <c:lblAlgn val="ctr"/>
        <c:lblOffset val="100"/>
        <c:noMultiLvlLbl val="0"/>
      </c:catAx>
      <c:valAx>
        <c:axId val="113938432"/>
        <c:scaling>
          <c:orientation val="minMax"/>
        </c:scaling>
        <c:delete val="1"/>
        <c:axPos val="b"/>
        <c:numFmt formatCode="0" sourceLinked="1"/>
        <c:majorTickMark val="out"/>
        <c:minorTickMark val="none"/>
        <c:tickLblPos val="nextTo"/>
        <c:crossAx val="113928448"/>
        <c:crosses val="autoZero"/>
        <c:crossBetween val="between"/>
      </c:valAx>
      <c:spPr>
        <a:noFill/>
        <a:ln w="25400">
          <a:noFill/>
        </a:ln>
      </c:spPr>
    </c:plotArea>
    <c:plotVisOnly val="1"/>
    <c:dispBlanksAs val="gap"/>
    <c:showDLblsOverMax val="0"/>
  </c:chart>
  <c:printSettings>
    <c:headerFooter/>
    <c:pageMargins b="0.75" l="0.7" r="0.7" t="0.75" header="0.3" footer="0.3"/>
    <c:pageSetup/>
  </c:printSettings>
  <c:userShapes r:id="rId1"/>
</c:chartSpace>
</file>

<file path=xl/charts/chart65.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42"/>
    </mc:Choice>
    <mc:Fallback>
      <c:style val="42"/>
    </mc:Fallback>
  </mc:AlternateContent>
  <c:chart>
    <c:title>
      <c:tx>
        <c:rich>
          <a:bodyPr/>
          <a:lstStyle/>
          <a:p>
            <a:pPr>
              <a:defRPr/>
            </a:pPr>
            <a:r>
              <a:rPr lang="en-US"/>
              <a:t>Combustivel fossil 41 - Precipitador</a:t>
            </a:r>
          </a:p>
        </c:rich>
      </c:tx>
      <c:layout/>
      <c:overlay val="0"/>
    </c:title>
    <c:autoTitleDeleted val="0"/>
    <c:plotArea>
      <c:layout>
        <c:manualLayout>
          <c:layoutTarget val="inner"/>
          <c:xMode val="edge"/>
          <c:yMode val="edge"/>
          <c:x val="2.4691358024691357E-2"/>
          <c:y val="0.32444484748597435"/>
          <c:w val="0.95286195286195285"/>
          <c:h val="0.55961308824621336"/>
        </c:manualLayout>
      </c:layout>
      <c:barChart>
        <c:barDir val="bar"/>
        <c:grouping val="stacked"/>
        <c:varyColors val="0"/>
        <c:ser>
          <c:idx val="0"/>
          <c:order val="0"/>
          <c:invertIfNegative val="0"/>
          <c:dLbls>
            <c:showLegendKey val="0"/>
            <c:showVal val="1"/>
            <c:showCatName val="0"/>
            <c:showSerName val="0"/>
            <c:showPercent val="0"/>
            <c:showBubbleSize val="0"/>
            <c:showLeaderLines val="0"/>
          </c:dLbls>
          <c:val>
            <c:numRef>
              <c:f>'2012 - Ciclo de Operação'!$B$13</c:f>
              <c:numCache>
                <c:formatCode>0</c:formatCode>
                <c:ptCount val="1"/>
                <c:pt idx="0">
                  <c:v>432</c:v>
                </c:pt>
              </c:numCache>
            </c:numRef>
          </c:val>
        </c:ser>
        <c:ser>
          <c:idx val="1"/>
          <c:order val="1"/>
          <c:invertIfNegative val="0"/>
          <c:dLbls>
            <c:dLbl>
              <c:idx val="0"/>
              <c:layout>
                <c:manualLayout>
                  <c:x val="5.5875431574628716E-18"/>
                  <c:y val="-0.16036749610711726"/>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'2012 - Ciclo de Operação'!$I$13</c:f>
              <c:numCache>
                <c:formatCode>General</c:formatCode>
                <c:ptCount val="1"/>
                <c:pt idx="0">
                  <c:v>0.5</c:v>
                </c:pt>
              </c:numCache>
            </c:numRef>
          </c:val>
        </c:ser>
        <c:ser>
          <c:idx val="2"/>
          <c:order val="2"/>
          <c:invertIfNegative val="0"/>
          <c:dLbls>
            <c:showLegendKey val="0"/>
            <c:showVal val="1"/>
            <c:showCatName val="0"/>
            <c:showSerName val="0"/>
            <c:showPercent val="0"/>
            <c:showBubbleSize val="0"/>
            <c:showLeaderLines val="0"/>
          </c:dLbls>
          <c:val>
            <c:numRef>
              <c:f>'2012 - Ciclo de Operação'!$B$14</c:f>
              <c:numCache>
                <c:formatCode>0</c:formatCode>
                <c:ptCount val="1"/>
                <c:pt idx="0">
                  <c:v>8208</c:v>
                </c:pt>
              </c:numCache>
            </c:numRef>
          </c:val>
        </c:ser>
        <c:dLbls>
          <c:showLegendKey val="0"/>
          <c:showVal val="0"/>
          <c:showCatName val="0"/>
          <c:showSerName val="0"/>
          <c:showPercent val="0"/>
          <c:showBubbleSize val="0"/>
        </c:dLbls>
        <c:gapWidth val="150"/>
        <c:overlap val="100"/>
        <c:axId val="113642496"/>
        <c:axId val="113660672"/>
      </c:barChart>
      <c:catAx>
        <c:axId val="113642496"/>
        <c:scaling>
          <c:orientation val="minMax"/>
        </c:scaling>
        <c:delete val="1"/>
        <c:axPos val="l"/>
        <c:majorTickMark val="out"/>
        <c:minorTickMark val="none"/>
        <c:tickLblPos val="nextTo"/>
        <c:crossAx val="113660672"/>
        <c:crosses val="autoZero"/>
        <c:auto val="1"/>
        <c:lblAlgn val="ctr"/>
        <c:lblOffset val="100"/>
        <c:noMultiLvlLbl val="0"/>
      </c:catAx>
      <c:valAx>
        <c:axId val="113660672"/>
        <c:scaling>
          <c:orientation val="minMax"/>
        </c:scaling>
        <c:delete val="1"/>
        <c:axPos val="b"/>
        <c:numFmt formatCode="0" sourceLinked="1"/>
        <c:majorTickMark val="out"/>
        <c:minorTickMark val="none"/>
        <c:tickLblPos val="nextTo"/>
        <c:crossAx val="113642496"/>
        <c:crosses val="autoZero"/>
        <c:crossBetween val="between"/>
      </c:valAx>
      <c:spPr>
        <a:noFill/>
        <a:ln w="25400">
          <a:noFill/>
        </a:ln>
      </c:spPr>
    </c:plotArea>
    <c:plotVisOnly val="1"/>
    <c:dispBlanksAs val="gap"/>
    <c:showDLblsOverMax val="0"/>
  </c:chart>
  <c:printSettings>
    <c:headerFooter/>
    <c:pageMargins b="0.75" l="0.7" r="0.7" t="0.75" header="0.3" footer="0.3"/>
    <c:pageSetup/>
  </c:printSettings>
  <c:userShapes r:id="rId1"/>
</c:chartSpace>
</file>

<file path=xl/charts/chart66.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42"/>
    </mc:Choice>
    <mc:Fallback>
      <c:style val="42"/>
    </mc:Fallback>
  </mc:AlternateContent>
  <c:chart>
    <c:title>
      <c:tx>
        <c:rich>
          <a:bodyPr/>
          <a:lstStyle/>
          <a:p>
            <a:pPr>
              <a:defRPr/>
            </a:pPr>
            <a:r>
              <a:rPr lang="en-US"/>
              <a:t>Incinerador 2 - Alimentação</a:t>
            </a:r>
          </a:p>
        </c:rich>
      </c:tx>
      <c:layout/>
      <c:overlay val="0"/>
    </c:title>
    <c:autoTitleDeleted val="0"/>
    <c:plotArea>
      <c:layout>
        <c:manualLayout>
          <c:layoutTarget val="inner"/>
          <c:xMode val="edge"/>
          <c:yMode val="edge"/>
          <c:x val="2.4691358024691357E-2"/>
          <c:y val="0.32444484748597435"/>
          <c:w val="0.95286195286195285"/>
          <c:h val="0.55961308824621336"/>
        </c:manualLayout>
      </c:layout>
      <c:barChart>
        <c:barDir val="bar"/>
        <c:grouping val="stacked"/>
        <c:varyColors val="0"/>
        <c:ser>
          <c:idx val="0"/>
          <c:order val="0"/>
          <c:invertIfNegative val="0"/>
          <c:dLbls>
            <c:showLegendKey val="0"/>
            <c:showVal val="1"/>
            <c:showCatName val="0"/>
            <c:showSerName val="0"/>
            <c:showPercent val="0"/>
            <c:showBubbleSize val="0"/>
            <c:showLeaderLines val="0"/>
          </c:dLbls>
          <c:val>
            <c:numRef>
              <c:f>'2012 - Ciclo de Operação'!$B$15</c:f>
              <c:numCache>
                <c:formatCode>0</c:formatCode>
                <c:ptCount val="1"/>
                <c:pt idx="0">
                  <c:v>1944</c:v>
                </c:pt>
              </c:numCache>
            </c:numRef>
          </c:val>
        </c:ser>
        <c:ser>
          <c:idx val="1"/>
          <c:order val="1"/>
          <c:invertIfNegative val="0"/>
          <c:dLbls>
            <c:dLbl>
              <c:idx val="0"/>
              <c:layout>
                <c:manualLayout>
                  <c:x val="2.4279510310953613E-3"/>
                  <c:y val="-0.16301368104695491"/>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'2012 - Ciclo de Operação'!$I$15</c:f>
              <c:numCache>
                <c:formatCode>General</c:formatCode>
                <c:ptCount val="1"/>
                <c:pt idx="0">
                  <c:v>0.5</c:v>
                </c:pt>
              </c:numCache>
            </c:numRef>
          </c:val>
        </c:ser>
        <c:ser>
          <c:idx val="2"/>
          <c:order val="2"/>
          <c:invertIfNegative val="0"/>
          <c:dLbls>
            <c:showLegendKey val="0"/>
            <c:showVal val="1"/>
            <c:showCatName val="0"/>
            <c:showSerName val="0"/>
            <c:showPercent val="0"/>
            <c:showBubbleSize val="0"/>
            <c:showLeaderLines val="0"/>
          </c:dLbls>
          <c:val>
            <c:numRef>
              <c:f>'2012 - Ciclo de Operação'!$B$16</c:f>
              <c:numCache>
                <c:formatCode>0</c:formatCode>
                <c:ptCount val="1"/>
                <c:pt idx="0">
                  <c:v>600</c:v>
                </c:pt>
              </c:numCache>
            </c:numRef>
          </c:val>
        </c:ser>
        <c:ser>
          <c:idx val="3"/>
          <c:order val="3"/>
          <c:invertIfNegative val="0"/>
          <c:dLbls>
            <c:dLbl>
              <c:idx val="0"/>
              <c:layout>
                <c:manualLayout>
                  <c:x val="0"/>
                  <c:y val="-0.15525112480662373"/>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'2012 - Ciclo de Operação'!$I$16</c:f>
              <c:numCache>
                <c:formatCode>General</c:formatCode>
                <c:ptCount val="1"/>
                <c:pt idx="0">
                  <c:v>5</c:v>
                </c:pt>
              </c:numCache>
            </c:numRef>
          </c:val>
        </c:ser>
        <c:ser>
          <c:idx val="4"/>
          <c:order val="4"/>
          <c:invertIfNegative val="0"/>
          <c:dLbls>
            <c:showLegendKey val="0"/>
            <c:showVal val="1"/>
            <c:showCatName val="0"/>
            <c:showSerName val="0"/>
            <c:showPercent val="0"/>
            <c:showBubbleSize val="0"/>
            <c:showLeaderLines val="0"/>
          </c:dLbls>
          <c:val>
            <c:numRef>
              <c:f>'2012 - Ciclo de Operação'!$B$17</c:f>
              <c:numCache>
                <c:formatCode>0</c:formatCode>
                <c:ptCount val="1"/>
                <c:pt idx="0">
                  <c:v>48</c:v>
                </c:pt>
              </c:numCache>
            </c:numRef>
          </c:val>
        </c:ser>
        <c:ser>
          <c:idx val="5"/>
          <c:order val="5"/>
          <c:invertIfNegative val="0"/>
          <c:dLbls>
            <c:dLbl>
              <c:idx val="0"/>
              <c:layout>
                <c:manualLayout>
                  <c:x val="-2.2255960682283837E-17"/>
                  <c:y val="-0.17077623728728608"/>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'2012 - Ciclo de Operação'!$I$17</c:f>
              <c:numCache>
                <c:formatCode>General</c:formatCode>
                <c:ptCount val="1"/>
                <c:pt idx="0">
                  <c:v>2</c:v>
                </c:pt>
              </c:numCache>
            </c:numRef>
          </c:val>
        </c:ser>
        <c:ser>
          <c:idx val="6"/>
          <c:order val="6"/>
          <c:invertIfNegative val="0"/>
          <c:dLbls>
            <c:showLegendKey val="0"/>
            <c:showVal val="1"/>
            <c:showCatName val="0"/>
            <c:showSerName val="0"/>
            <c:showPercent val="0"/>
            <c:showBubbleSize val="0"/>
            <c:showLeaderLines val="0"/>
          </c:dLbls>
          <c:val>
            <c:numRef>
              <c:f>'2012 - Ciclo de Operação'!$B$18</c:f>
              <c:numCache>
                <c:formatCode>0</c:formatCode>
                <c:ptCount val="1"/>
                <c:pt idx="0">
                  <c:v>216</c:v>
                </c:pt>
              </c:numCache>
            </c:numRef>
          </c:val>
        </c:ser>
        <c:ser>
          <c:idx val="7"/>
          <c:order val="7"/>
          <c:invertIfNegative val="0"/>
          <c:dLbls>
            <c:dLbl>
              <c:idx val="0"/>
              <c:layout>
                <c:manualLayout>
                  <c:x val="0"/>
                  <c:y val="-0.16301368104695491"/>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'2012 - Ciclo de Operação'!$I$18</c:f>
              <c:numCache>
                <c:formatCode>General</c:formatCode>
                <c:ptCount val="1"/>
                <c:pt idx="0">
                  <c:v>1</c:v>
                </c:pt>
              </c:numCache>
            </c:numRef>
          </c:val>
        </c:ser>
        <c:ser>
          <c:idx val="8"/>
          <c:order val="8"/>
          <c:invertIfNegative val="0"/>
          <c:dLbls>
            <c:showLegendKey val="0"/>
            <c:showVal val="1"/>
            <c:showCatName val="0"/>
            <c:showSerName val="0"/>
            <c:showPercent val="0"/>
            <c:showBubbleSize val="0"/>
            <c:showLeaderLines val="0"/>
          </c:dLbls>
          <c:val>
            <c:numRef>
              <c:f>'2012 - Ciclo de Operação'!$B$19</c:f>
              <c:numCache>
                <c:formatCode>0</c:formatCode>
                <c:ptCount val="1"/>
                <c:pt idx="0">
                  <c:v>648</c:v>
                </c:pt>
              </c:numCache>
            </c:numRef>
          </c:val>
        </c:ser>
        <c:ser>
          <c:idx val="9"/>
          <c:order val="9"/>
          <c:invertIfNegative val="0"/>
          <c:dLbls>
            <c:dLbl>
              <c:idx val="0"/>
              <c:layout>
                <c:manualLayout>
                  <c:x val="-1.928705776705246E-7"/>
                  <c:y val="-0.15525112480662373"/>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'2012 - Ciclo de Operação'!$I$19</c:f>
              <c:numCache>
                <c:formatCode>General</c:formatCode>
                <c:ptCount val="1"/>
                <c:pt idx="0">
                  <c:v>1</c:v>
                </c:pt>
              </c:numCache>
            </c:numRef>
          </c:val>
        </c:ser>
        <c:ser>
          <c:idx val="10"/>
          <c:order val="10"/>
          <c:invertIfNegative val="0"/>
          <c:dLbls>
            <c:showLegendKey val="0"/>
            <c:showVal val="1"/>
            <c:showCatName val="0"/>
            <c:showSerName val="0"/>
            <c:showPercent val="0"/>
            <c:showBubbleSize val="0"/>
            <c:showLeaderLines val="0"/>
          </c:dLbls>
          <c:val>
            <c:numRef>
              <c:f>'2012 - Ciclo de Operação'!$B$20</c:f>
              <c:numCache>
                <c:formatCode>0</c:formatCode>
                <c:ptCount val="1"/>
                <c:pt idx="0">
                  <c:v>360</c:v>
                </c:pt>
              </c:numCache>
            </c:numRef>
          </c:val>
        </c:ser>
        <c:ser>
          <c:idx val="11"/>
          <c:order val="11"/>
          <c:invertIfNegative val="0"/>
          <c:dLbls>
            <c:dLbl>
              <c:idx val="0"/>
              <c:layout>
                <c:manualLayout>
                  <c:x val="0"/>
                  <c:y val="-0.16301368104695491"/>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'2012 - Ciclo de Operação'!$I$20</c:f>
              <c:numCache>
                <c:formatCode>General</c:formatCode>
                <c:ptCount val="1"/>
                <c:pt idx="0">
                  <c:v>1</c:v>
                </c:pt>
              </c:numCache>
            </c:numRef>
          </c:val>
        </c:ser>
        <c:ser>
          <c:idx val="12"/>
          <c:order val="12"/>
          <c:invertIfNegative val="0"/>
          <c:dLbls>
            <c:showLegendKey val="0"/>
            <c:showVal val="1"/>
            <c:showCatName val="0"/>
            <c:showSerName val="0"/>
            <c:showPercent val="0"/>
            <c:showBubbleSize val="0"/>
            <c:showLeaderLines val="0"/>
          </c:dLbls>
          <c:val>
            <c:numRef>
              <c:f>'2012 - Ciclo de Operação'!$B$21</c:f>
              <c:numCache>
                <c:formatCode>0</c:formatCode>
                <c:ptCount val="1"/>
                <c:pt idx="0">
                  <c:v>96</c:v>
                </c:pt>
              </c:numCache>
            </c:numRef>
          </c:val>
        </c:ser>
        <c:ser>
          <c:idx val="13"/>
          <c:order val="13"/>
          <c:invertIfNegative val="0"/>
          <c:dLbls>
            <c:dLbl>
              <c:idx val="0"/>
              <c:layout>
                <c:manualLayout>
                  <c:x val="-4.4906180740921899E-17"/>
                  <c:y val="-0.15525112480662373"/>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'2012 - Ciclo de Operação'!$I$21</c:f>
              <c:numCache>
                <c:formatCode>General</c:formatCode>
                <c:ptCount val="1"/>
                <c:pt idx="0">
                  <c:v>4</c:v>
                </c:pt>
              </c:numCache>
            </c:numRef>
          </c:val>
        </c:ser>
        <c:ser>
          <c:idx val="14"/>
          <c:order val="14"/>
          <c:invertIfNegative val="0"/>
          <c:dLbls>
            <c:showLegendKey val="0"/>
            <c:showVal val="1"/>
            <c:showCatName val="0"/>
            <c:showSerName val="0"/>
            <c:showPercent val="0"/>
            <c:showBubbleSize val="0"/>
            <c:showLeaderLines val="0"/>
          </c:dLbls>
          <c:val>
            <c:numRef>
              <c:f>'2012 - Ciclo de Operação'!$B$22</c:f>
              <c:numCache>
                <c:formatCode>0</c:formatCode>
                <c:ptCount val="1"/>
                <c:pt idx="0">
                  <c:v>240</c:v>
                </c:pt>
              </c:numCache>
            </c:numRef>
          </c:val>
        </c:ser>
        <c:ser>
          <c:idx val="15"/>
          <c:order val="15"/>
          <c:invertIfNegative val="0"/>
          <c:dLbls>
            <c:dLbl>
              <c:idx val="0"/>
              <c:layout>
                <c:manualLayout>
                  <c:x val="0"/>
                  <c:y val="-0.15525112480662373"/>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'2012 - Ciclo de Operação'!$I$22</c:f>
              <c:numCache>
                <c:formatCode>General</c:formatCode>
                <c:ptCount val="1"/>
                <c:pt idx="0">
                  <c:v>1</c:v>
                </c:pt>
              </c:numCache>
            </c:numRef>
          </c:val>
        </c:ser>
        <c:ser>
          <c:idx val="16"/>
          <c:order val="16"/>
          <c:invertIfNegative val="0"/>
          <c:dLbls>
            <c:showLegendKey val="0"/>
            <c:showVal val="1"/>
            <c:showCatName val="0"/>
            <c:showSerName val="0"/>
            <c:showPercent val="0"/>
            <c:showBubbleSize val="0"/>
            <c:showLeaderLines val="0"/>
          </c:dLbls>
          <c:val>
            <c:numRef>
              <c:f>'2012 - Ciclo de Operação'!$B$23</c:f>
              <c:numCache>
                <c:formatCode>0</c:formatCode>
                <c:ptCount val="1"/>
                <c:pt idx="0">
                  <c:v>2592</c:v>
                </c:pt>
              </c:numCache>
            </c:numRef>
          </c:val>
        </c:ser>
        <c:ser>
          <c:idx val="17"/>
          <c:order val="17"/>
          <c:invertIfNegative val="0"/>
          <c:dLbls>
            <c:dLbl>
              <c:idx val="0"/>
              <c:layout>
                <c:manualLayout>
                  <c:x val="0"/>
                  <c:y val="-0.14748856856629253"/>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'2012 - Ciclo de Operação'!$I$23</c:f>
              <c:numCache>
                <c:formatCode>General</c:formatCode>
                <c:ptCount val="1"/>
                <c:pt idx="0">
                  <c:v>2</c:v>
                </c:pt>
              </c:numCache>
            </c:numRef>
          </c:val>
        </c:ser>
        <c:ser>
          <c:idx val="18"/>
          <c:order val="18"/>
          <c:invertIfNegative val="0"/>
          <c:dLbls>
            <c:showLegendKey val="0"/>
            <c:showVal val="1"/>
            <c:showCatName val="0"/>
            <c:showSerName val="0"/>
            <c:showPercent val="0"/>
            <c:showBubbleSize val="0"/>
            <c:showLeaderLines val="0"/>
          </c:dLbls>
          <c:val>
            <c:numRef>
              <c:f>'2012 - Ciclo de Operação'!$B$24</c:f>
              <c:numCache>
                <c:formatCode>0</c:formatCode>
                <c:ptCount val="1"/>
                <c:pt idx="0">
                  <c:v>528</c:v>
                </c:pt>
              </c:numCache>
            </c:numRef>
          </c:val>
        </c:ser>
        <c:ser>
          <c:idx val="19"/>
          <c:order val="19"/>
          <c:invertIfNegative val="0"/>
          <c:dLbls>
            <c:dLbl>
              <c:idx val="0"/>
              <c:layout>
                <c:manualLayout>
                  <c:x val="-2.4494563364155725E-3"/>
                  <c:y val="-0.15525112480662373"/>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'2012 - Ciclo de Operação'!$I$24</c:f>
              <c:numCache>
                <c:formatCode>General</c:formatCode>
                <c:ptCount val="1"/>
                <c:pt idx="0">
                  <c:v>0.5</c:v>
                </c:pt>
              </c:numCache>
            </c:numRef>
          </c:val>
        </c:ser>
        <c:ser>
          <c:idx val="20"/>
          <c:order val="20"/>
          <c:invertIfNegative val="0"/>
          <c:dLbls>
            <c:showLegendKey val="0"/>
            <c:showVal val="1"/>
            <c:showCatName val="0"/>
            <c:showSerName val="0"/>
            <c:showPercent val="0"/>
            <c:showBubbleSize val="0"/>
            <c:showLeaderLines val="0"/>
          </c:dLbls>
          <c:val>
            <c:numRef>
              <c:f>'2012 - Ciclo de Operação'!$B$25</c:f>
              <c:numCache>
                <c:formatCode>0</c:formatCode>
                <c:ptCount val="1"/>
                <c:pt idx="0">
                  <c:v>1368</c:v>
                </c:pt>
              </c:numCache>
            </c:numRef>
          </c:val>
        </c:ser>
        <c:dLbls>
          <c:showLegendKey val="0"/>
          <c:showVal val="0"/>
          <c:showCatName val="0"/>
          <c:showSerName val="0"/>
          <c:showPercent val="0"/>
          <c:showBubbleSize val="0"/>
        </c:dLbls>
        <c:gapWidth val="150"/>
        <c:overlap val="100"/>
        <c:axId val="113821184"/>
        <c:axId val="113822720"/>
      </c:barChart>
      <c:catAx>
        <c:axId val="113821184"/>
        <c:scaling>
          <c:orientation val="minMax"/>
        </c:scaling>
        <c:delete val="1"/>
        <c:axPos val="l"/>
        <c:majorTickMark val="out"/>
        <c:minorTickMark val="none"/>
        <c:tickLblPos val="nextTo"/>
        <c:crossAx val="113822720"/>
        <c:crosses val="autoZero"/>
        <c:auto val="1"/>
        <c:lblAlgn val="ctr"/>
        <c:lblOffset val="100"/>
        <c:noMultiLvlLbl val="0"/>
      </c:catAx>
      <c:valAx>
        <c:axId val="113822720"/>
        <c:scaling>
          <c:orientation val="minMax"/>
        </c:scaling>
        <c:delete val="1"/>
        <c:axPos val="b"/>
        <c:numFmt formatCode="0" sourceLinked="1"/>
        <c:majorTickMark val="out"/>
        <c:minorTickMark val="none"/>
        <c:tickLblPos val="nextTo"/>
        <c:crossAx val="113821184"/>
        <c:crosses val="autoZero"/>
        <c:crossBetween val="between"/>
      </c:valAx>
      <c:spPr>
        <a:noFill/>
        <a:ln w="25400">
          <a:noFill/>
        </a:ln>
      </c:spPr>
    </c:plotArea>
    <c:plotVisOnly val="1"/>
    <c:dispBlanksAs val="gap"/>
    <c:showDLblsOverMax val="0"/>
  </c:chart>
  <c:printSettings>
    <c:headerFooter/>
    <c:pageMargins b="0.75" l="0.7" r="0.7" t="0.75" header="0.3" footer="0.3"/>
    <c:pageSetup/>
  </c:printSettings>
  <c:userShapes r:id="rId1"/>
</c:chartSpace>
</file>

<file path=xl/charts/chart67.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42"/>
    </mc:Choice>
    <mc:Fallback>
      <c:style val="42"/>
    </mc:Fallback>
  </mc:AlternateContent>
  <c:chart>
    <c:title>
      <c:tx>
        <c:rich>
          <a:bodyPr/>
          <a:lstStyle/>
          <a:p>
            <a:pPr>
              <a:defRPr/>
            </a:pPr>
            <a:r>
              <a:rPr lang="en-US"/>
              <a:t>Incinerador 2 - Chaminé</a:t>
            </a:r>
          </a:p>
        </c:rich>
      </c:tx>
      <c:layout/>
      <c:overlay val="0"/>
    </c:title>
    <c:autoTitleDeleted val="0"/>
    <c:plotArea>
      <c:layout>
        <c:manualLayout>
          <c:layoutTarget val="inner"/>
          <c:xMode val="edge"/>
          <c:yMode val="edge"/>
          <c:x val="2.4691358024691357E-2"/>
          <c:y val="0.32444484748597435"/>
          <c:w val="0.95286195286195285"/>
          <c:h val="0.55961308824621336"/>
        </c:manualLayout>
      </c:layout>
      <c:barChart>
        <c:barDir val="bar"/>
        <c:grouping val="stacked"/>
        <c:varyColors val="0"/>
        <c:ser>
          <c:idx val="0"/>
          <c:order val="0"/>
          <c:invertIfNegative val="0"/>
          <c:dLbls>
            <c:showLegendKey val="0"/>
            <c:showVal val="1"/>
            <c:showCatName val="0"/>
            <c:showSerName val="0"/>
            <c:showPercent val="0"/>
            <c:showBubbleSize val="0"/>
            <c:showLeaderLines val="0"/>
          </c:dLbls>
          <c:val>
            <c:numRef>
              <c:f>'2012 - Ciclo de Operação'!$B$26</c:f>
              <c:numCache>
                <c:formatCode>0</c:formatCode>
                <c:ptCount val="1"/>
                <c:pt idx="0">
                  <c:v>1632</c:v>
                </c:pt>
              </c:numCache>
            </c:numRef>
          </c:val>
        </c:ser>
        <c:ser>
          <c:idx val="1"/>
          <c:order val="1"/>
          <c:invertIfNegative val="0"/>
          <c:dLbls>
            <c:dLbl>
              <c:idx val="0"/>
              <c:layout>
                <c:manualLayout>
                  <c:x val="0"/>
                  <c:y val="-0.16880789063907078"/>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'2012 - Ciclo de Operação'!$I$26</c:f>
              <c:numCache>
                <c:formatCode>General</c:formatCode>
                <c:ptCount val="1"/>
                <c:pt idx="0">
                  <c:v>4</c:v>
                </c:pt>
              </c:numCache>
            </c:numRef>
          </c:val>
        </c:ser>
        <c:ser>
          <c:idx val="2"/>
          <c:order val="2"/>
          <c:invertIfNegative val="0"/>
          <c:dLbls>
            <c:showLegendKey val="0"/>
            <c:showVal val="1"/>
            <c:showCatName val="0"/>
            <c:showSerName val="0"/>
            <c:showPercent val="0"/>
            <c:showBubbleSize val="0"/>
            <c:showLeaderLines val="0"/>
          </c:dLbls>
          <c:val>
            <c:numRef>
              <c:f>'2012 - Ciclo de Operação'!$B$27</c:f>
              <c:numCache>
                <c:formatCode>0</c:formatCode>
                <c:ptCount val="1"/>
                <c:pt idx="0">
                  <c:v>96</c:v>
                </c:pt>
              </c:numCache>
            </c:numRef>
          </c:val>
        </c:ser>
        <c:ser>
          <c:idx val="3"/>
          <c:order val="3"/>
          <c:invertIfNegative val="0"/>
          <c:dLbls>
            <c:dLbl>
              <c:idx val="0"/>
              <c:layout>
                <c:manualLayout>
                  <c:x val="0"/>
                  <c:y val="-0.1519271015751637"/>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'2012 - Ciclo de Operação'!$I$27</c:f>
              <c:numCache>
                <c:formatCode>General</c:formatCode>
                <c:ptCount val="1"/>
                <c:pt idx="0">
                  <c:v>0.5</c:v>
                </c:pt>
              </c:numCache>
            </c:numRef>
          </c:val>
        </c:ser>
        <c:ser>
          <c:idx val="4"/>
          <c:order val="4"/>
          <c:invertIfNegative val="0"/>
          <c:dLbls>
            <c:showLegendKey val="0"/>
            <c:showVal val="1"/>
            <c:showCatName val="0"/>
            <c:showSerName val="0"/>
            <c:showPercent val="0"/>
            <c:showBubbleSize val="0"/>
            <c:showLeaderLines val="0"/>
          </c:dLbls>
          <c:val>
            <c:numRef>
              <c:f>'2012 - Ciclo de Operação'!$B$28</c:f>
              <c:numCache>
                <c:formatCode>0</c:formatCode>
                <c:ptCount val="1"/>
                <c:pt idx="0">
                  <c:v>648</c:v>
                </c:pt>
              </c:numCache>
            </c:numRef>
          </c:val>
        </c:ser>
        <c:ser>
          <c:idx val="5"/>
          <c:order val="5"/>
          <c:invertIfNegative val="0"/>
          <c:dLbls>
            <c:dLbl>
              <c:idx val="0"/>
              <c:layout>
                <c:manualLayout>
                  <c:x val="0"/>
                  <c:y val="-0.16036749610711726"/>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'2012 - Ciclo de Operação'!$I$28</c:f>
              <c:numCache>
                <c:formatCode>General</c:formatCode>
                <c:ptCount val="1"/>
                <c:pt idx="0">
                  <c:v>1</c:v>
                </c:pt>
              </c:numCache>
            </c:numRef>
          </c:val>
        </c:ser>
        <c:ser>
          <c:idx val="6"/>
          <c:order val="6"/>
          <c:invertIfNegative val="0"/>
          <c:dLbls>
            <c:showLegendKey val="0"/>
            <c:showVal val="1"/>
            <c:showCatName val="0"/>
            <c:showSerName val="0"/>
            <c:showPercent val="0"/>
            <c:showBubbleSize val="0"/>
            <c:showLeaderLines val="0"/>
          </c:dLbls>
          <c:val>
            <c:numRef>
              <c:f>'2012 - Ciclo de Operação'!$B$29</c:f>
              <c:numCache>
                <c:formatCode>0</c:formatCode>
                <c:ptCount val="1"/>
                <c:pt idx="0">
                  <c:v>6264</c:v>
                </c:pt>
              </c:numCache>
            </c:numRef>
          </c:val>
        </c:ser>
        <c:dLbls>
          <c:showLegendKey val="0"/>
          <c:showVal val="0"/>
          <c:showCatName val="0"/>
          <c:showSerName val="0"/>
          <c:showPercent val="0"/>
          <c:showBubbleSize val="0"/>
        </c:dLbls>
        <c:gapWidth val="150"/>
        <c:overlap val="100"/>
        <c:axId val="113888256"/>
        <c:axId val="114361088"/>
      </c:barChart>
      <c:catAx>
        <c:axId val="113888256"/>
        <c:scaling>
          <c:orientation val="minMax"/>
        </c:scaling>
        <c:delete val="1"/>
        <c:axPos val="l"/>
        <c:majorTickMark val="out"/>
        <c:minorTickMark val="none"/>
        <c:tickLblPos val="nextTo"/>
        <c:crossAx val="114361088"/>
        <c:crosses val="autoZero"/>
        <c:auto val="1"/>
        <c:lblAlgn val="ctr"/>
        <c:lblOffset val="100"/>
        <c:noMultiLvlLbl val="0"/>
      </c:catAx>
      <c:valAx>
        <c:axId val="114361088"/>
        <c:scaling>
          <c:orientation val="minMax"/>
        </c:scaling>
        <c:delete val="1"/>
        <c:axPos val="b"/>
        <c:numFmt formatCode="0" sourceLinked="1"/>
        <c:majorTickMark val="out"/>
        <c:minorTickMark val="none"/>
        <c:tickLblPos val="nextTo"/>
        <c:crossAx val="113888256"/>
        <c:crosses val="autoZero"/>
        <c:crossBetween val="between"/>
      </c:valAx>
      <c:spPr>
        <a:noFill/>
        <a:ln w="25400">
          <a:noFill/>
        </a:ln>
      </c:spPr>
    </c:plotArea>
    <c:plotVisOnly val="1"/>
    <c:dispBlanksAs val="gap"/>
    <c:showDLblsOverMax val="0"/>
  </c:chart>
  <c:printSettings>
    <c:headerFooter/>
    <c:pageMargins b="0.75" l="0.7" r="0.7" t="0.75" header="0.3" footer="0.3"/>
    <c:pageSetup/>
  </c:printSettings>
  <c:userShapes r:id="rId1"/>
</c:chartSpace>
</file>

<file path=xl/charts/chart68.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42"/>
    </mc:Choice>
    <mc:Fallback>
      <c:style val="42"/>
    </mc:Fallback>
  </mc:AlternateContent>
  <c:chart>
    <c:title>
      <c:tx>
        <c:rich>
          <a:bodyPr/>
          <a:lstStyle/>
          <a:p>
            <a:pPr>
              <a:defRPr/>
            </a:pPr>
            <a:r>
              <a:rPr lang="en-US"/>
              <a:t>Incinerador 2 - Precipitador</a:t>
            </a:r>
          </a:p>
        </c:rich>
      </c:tx>
      <c:layout/>
      <c:overlay val="0"/>
    </c:title>
    <c:autoTitleDeleted val="0"/>
    <c:plotArea>
      <c:layout>
        <c:manualLayout>
          <c:layoutTarget val="inner"/>
          <c:xMode val="edge"/>
          <c:yMode val="edge"/>
          <c:x val="2.4691358024691357E-2"/>
          <c:y val="0.32444484748597435"/>
          <c:w val="0.95286195286195285"/>
          <c:h val="0.55961308824621336"/>
        </c:manualLayout>
      </c:layout>
      <c:barChart>
        <c:barDir val="bar"/>
        <c:grouping val="stacked"/>
        <c:varyColors val="0"/>
        <c:ser>
          <c:idx val="0"/>
          <c:order val="0"/>
          <c:invertIfNegative val="0"/>
          <c:dLbls>
            <c:showLegendKey val="0"/>
            <c:showVal val="1"/>
            <c:showCatName val="0"/>
            <c:showSerName val="0"/>
            <c:showPercent val="0"/>
            <c:showBubbleSize val="0"/>
            <c:showLeaderLines val="0"/>
          </c:dLbls>
          <c:val>
            <c:numRef>
              <c:f>'2012 - Ciclo de Operação'!$B$30</c:f>
              <c:numCache>
                <c:formatCode>0</c:formatCode>
                <c:ptCount val="1"/>
                <c:pt idx="0">
                  <c:v>4104</c:v>
                </c:pt>
              </c:numCache>
            </c:numRef>
          </c:val>
        </c:ser>
        <c:ser>
          <c:idx val="1"/>
          <c:order val="1"/>
          <c:invertIfNegative val="0"/>
          <c:dLbls>
            <c:dLbl>
              <c:idx val="0"/>
              <c:layout>
                <c:manualLayout>
                  <c:x val="0"/>
                  <c:y val="-0.16880789063907078"/>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'2012 - Ciclo de Operação'!$I$30</c:f>
              <c:numCache>
                <c:formatCode>General</c:formatCode>
                <c:ptCount val="1"/>
                <c:pt idx="0">
                  <c:v>1</c:v>
                </c:pt>
              </c:numCache>
            </c:numRef>
          </c:val>
        </c:ser>
        <c:ser>
          <c:idx val="2"/>
          <c:order val="2"/>
          <c:invertIfNegative val="0"/>
          <c:dLbls>
            <c:showLegendKey val="0"/>
            <c:showVal val="1"/>
            <c:showCatName val="0"/>
            <c:showSerName val="0"/>
            <c:showPercent val="0"/>
            <c:showBubbleSize val="0"/>
            <c:showLeaderLines val="0"/>
          </c:dLbls>
          <c:val>
            <c:numRef>
              <c:f>'2012 - Ciclo de Operação'!$B$31</c:f>
              <c:numCache>
                <c:formatCode>0</c:formatCode>
                <c:ptCount val="1"/>
                <c:pt idx="0">
                  <c:v>2592</c:v>
                </c:pt>
              </c:numCache>
            </c:numRef>
          </c:val>
        </c:ser>
        <c:ser>
          <c:idx val="3"/>
          <c:order val="3"/>
          <c:invertIfNegative val="0"/>
          <c:dLbls>
            <c:dLbl>
              <c:idx val="0"/>
              <c:layout>
                <c:manualLayout>
                  <c:x val="0"/>
                  <c:y val="-0.16036749610711726"/>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'2012 - Ciclo de Operação'!$I$31</c:f>
              <c:numCache>
                <c:formatCode>General</c:formatCode>
                <c:ptCount val="1"/>
                <c:pt idx="0">
                  <c:v>2</c:v>
                </c:pt>
              </c:numCache>
            </c:numRef>
          </c:val>
        </c:ser>
        <c:ser>
          <c:idx val="4"/>
          <c:order val="4"/>
          <c:invertIfNegative val="0"/>
          <c:dLbls>
            <c:showLegendKey val="0"/>
            <c:showVal val="1"/>
            <c:showCatName val="0"/>
            <c:showSerName val="0"/>
            <c:showPercent val="0"/>
            <c:showBubbleSize val="0"/>
            <c:showLeaderLines val="0"/>
          </c:dLbls>
          <c:val>
            <c:numRef>
              <c:f>'2012 - Ciclo de Operação'!$B$32</c:f>
              <c:numCache>
                <c:formatCode>0</c:formatCode>
                <c:ptCount val="1"/>
                <c:pt idx="0">
                  <c:v>336</c:v>
                </c:pt>
              </c:numCache>
            </c:numRef>
          </c:val>
        </c:ser>
        <c:ser>
          <c:idx val="5"/>
          <c:order val="5"/>
          <c:invertIfNegative val="0"/>
          <c:dLbls>
            <c:dLbl>
              <c:idx val="0"/>
              <c:layout>
                <c:manualLayout>
                  <c:x val="-4.8787458780359628E-3"/>
                  <c:y val="-0.16880789063907078"/>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'2012 - Ciclo de Operação'!$I$32</c:f>
              <c:numCache>
                <c:formatCode>General</c:formatCode>
                <c:ptCount val="1"/>
                <c:pt idx="0">
                  <c:v>2</c:v>
                </c:pt>
              </c:numCache>
            </c:numRef>
          </c:val>
        </c:ser>
        <c:ser>
          <c:idx val="6"/>
          <c:order val="6"/>
          <c:invertIfNegative val="0"/>
          <c:dLbls>
            <c:showLegendKey val="0"/>
            <c:showVal val="1"/>
            <c:showCatName val="0"/>
            <c:showSerName val="0"/>
            <c:showPercent val="0"/>
            <c:showBubbleSize val="0"/>
            <c:showLeaderLines val="0"/>
          </c:dLbls>
          <c:val>
            <c:numRef>
              <c:f>'2012 - Ciclo de Operação'!$B$33</c:f>
              <c:numCache>
                <c:formatCode>0</c:formatCode>
                <c:ptCount val="1"/>
                <c:pt idx="0">
                  <c:v>1608</c:v>
                </c:pt>
              </c:numCache>
            </c:numRef>
          </c:val>
        </c:ser>
        <c:dLbls>
          <c:showLegendKey val="0"/>
          <c:showVal val="0"/>
          <c:showCatName val="0"/>
          <c:showSerName val="0"/>
          <c:showPercent val="0"/>
          <c:showBubbleSize val="0"/>
        </c:dLbls>
        <c:gapWidth val="150"/>
        <c:overlap val="100"/>
        <c:axId val="114414336"/>
        <c:axId val="114415872"/>
      </c:barChart>
      <c:catAx>
        <c:axId val="114414336"/>
        <c:scaling>
          <c:orientation val="minMax"/>
        </c:scaling>
        <c:delete val="1"/>
        <c:axPos val="l"/>
        <c:majorTickMark val="out"/>
        <c:minorTickMark val="none"/>
        <c:tickLblPos val="nextTo"/>
        <c:crossAx val="114415872"/>
        <c:crosses val="autoZero"/>
        <c:auto val="1"/>
        <c:lblAlgn val="ctr"/>
        <c:lblOffset val="100"/>
        <c:noMultiLvlLbl val="0"/>
      </c:catAx>
      <c:valAx>
        <c:axId val="114415872"/>
        <c:scaling>
          <c:orientation val="minMax"/>
        </c:scaling>
        <c:delete val="1"/>
        <c:axPos val="b"/>
        <c:numFmt formatCode="0" sourceLinked="1"/>
        <c:majorTickMark val="out"/>
        <c:minorTickMark val="none"/>
        <c:tickLblPos val="nextTo"/>
        <c:crossAx val="114414336"/>
        <c:crosses val="autoZero"/>
        <c:crossBetween val="between"/>
      </c:valAx>
      <c:spPr>
        <a:noFill/>
        <a:ln w="25400">
          <a:noFill/>
        </a:ln>
      </c:spPr>
    </c:plotArea>
    <c:plotVisOnly val="1"/>
    <c:dispBlanksAs val="gap"/>
    <c:showDLblsOverMax val="0"/>
  </c:chart>
  <c:printSettings>
    <c:headerFooter/>
    <c:pageMargins b="0.75" l="0.7" r="0.7" t="0.75" header="0.3" footer="0.3"/>
    <c:pageSetup/>
  </c:printSettings>
  <c:userShapes r:id="rId1"/>
</c:chartSpace>
</file>

<file path=xl/charts/chart69.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42"/>
    </mc:Choice>
    <mc:Fallback>
      <c:style val="42"/>
    </mc:Fallback>
  </mc:AlternateContent>
  <c:chart>
    <c:title>
      <c:tx>
        <c:rich>
          <a:bodyPr/>
          <a:lstStyle/>
          <a:p>
            <a:pPr>
              <a:defRPr/>
            </a:pPr>
            <a:r>
              <a:rPr lang="en-US"/>
              <a:t>Incinerador 3 - Secador</a:t>
            </a:r>
          </a:p>
        </c:rich>
      </c:tx>
      <c:layout/>
      <c:overlay val="0"/>
    </c:title>
    <c:autoTitleDeleted val="0"/>
    <c:plotArea>
      <c:layout>
        <c:manualLayout>
          <c:layoutTarget val="inner"/>
          <c:xMode val="edge"/>
          <c:yMode val="edge"/>
          <c:x val="2.4691358024691357E-2"/>
          <c:y val="0.32444484748597435"/>
          <c:w val="0.95286195286195285"/>
          <c:h val="0.55961308824621336"/>
        </c:manualLayout>
      </c:layout>
      <c:barChart>
        <c:barDir val="bar"/>
        <c:grouping val="stacked"/>
        <c:varyColors val="0"/>
        <c:ser>
          <c:idx val="0"/>
          <c:order val="0"/>
          <c:invertIfNegative val="0"/>
          <c:dLbls>
            <c:dLbl>
              <c:idx val="0"/>
              <c:layout>
                <c:manualLayout>
                  <c:x val="0"/>
                  <c:y val="-5.4337893682318304E-2"/>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'2012 - Ciclo de Operação'!$B$34</c:f>
              <c:numCache>
                <c:formatCode>0</c:formatCode>
                <c:ptCount val="1"/>
                <c:pt idx="0">
                  <c:v>528</c:v>
                </c:pt>
              </c:numCache>
            </c:numRef>
          </c:val>
        </c:ser>
        <c:ser>
          <c:idx val="1"/>
          <c:order val="1"/>
          <c:invertIfNegative val="0"/>
          <c:dLbls>
            <c:dLbl>
              <c:idx val="0"/>
              <c:layout>
                <c:manualLayout>
                  <c:x val="2.7950830737962033E-18"/>
                  <c:y val="-0.15525112480662373"/>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'2012 - Ciclo de Operação'!$I$34</c:f>
              <c:numCache>
                <c:formatCode>General</c:formatCode>
                <c:ptCount val="1"/>
                <c:pt idx="0">
                  <c:v>2</c:v>
                </c:pt>
              </c:numCache>
            </c:numRef>
          </c:val>
        </c:ser>
        <c:ser>
          <c:idx val="2"/>
          <c:order val="2"/>
          <c:invertIfNegative val="0"/>
          <c:dLbls>
            <c:dLbl>
              <c:idx val="0"/>
              <c:layout>
                <c:manualLayout>
                  <c:x val="0"/>
                  <c:y val="5.4337893682318304E-2"/>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'2012 - Ciclo de Operação'!$B$35</c:f>
              <c:numCache>
                <c:formatCode>0</c:formatCode>
                <c:ptCount val="1"/>
                <c:pt idx="0">
                  <c:v>144</c:v>
                </c:pt>
              </c:numCache>
            </c:numRef>
          </c:val>
        </c:ser>
        <c:ser>
          <c:idx val="3"/>
          <c:order val="3"/>
          <c:invertIfNegative val="0"/>
          <c:dLbls>
            <c:dLbl>
              <c:idx val="0"/>
              <c:layout>
                <c:manualLayout>
                  <c:x val="0"/>
                  <c:y val="-0.23287668720993562"/>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'2012 - Ciclo de Operação'!$I$35</c:f>
              <c:numCache>
                <c:formatCode>General</c:formatCode>
                <c:ptCount val="1"/>
                <c:pt idx="0">
                  <c:v>1.5</c:v>
                </c:pt>
              </c:numCache>
            </c:numRef>
          </c:val>
        </c:ser>
        <c:ser>
          <c:idx val="4"/>
          <c:order val="4"/>
          <c:invertIfNegative val="0"/>
          <c:dLbls>
            <c:dLbl>
              <c:idx val="0"/>
              <c:layout>
                <c:manualLayout>
                  <c:x val="2.4393734075645545E-3"/>
                  <c:y val="-5.4337893682318304E-2"/>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'2012 - Ciclo de Operação'!$B$36</c:f>
              <c:numCache>
                <c:formatCode>0</c:formatCode>
                <c:ptCount val="1"/>
                <c:pt idx="0">
                  <c:v>120</c:v>
                </c:pt>
              </c:numCache>
            </c:numRef>
          </c:val>
        </c:ser>
        <c:ser>
          <c:idx val="5"/>
          <c:order val="5"/>
          <c:invertIfNegative val="0"/>
          <c:dLbls>
            <c:dLbl>
              <c:idx val="0"/>
              <c:layout>
                <c:manualLayout>
                  <c:x val="0"/>
                  <c:y val="-0.15525112480662373"/>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'2012 - Ciclo de Operação'!$I$36</c:f>
              <c:numCache>
                <c:formatCode>General</c:formatCode>
                <c:ptCount val="1"/>
                <c:pt idx="0">
                  <c:v>1</c:v>
                </c:pt>
              </c:numCache>
            </c:numRef>
          </c:val>
        </c:ser>
        <c:ser>
          <c:idx val="6"/>
          <c:order val="6"/>
          <c:invertIfNegative val="0"/>
          <c:dLbls>
            <c:dLbl>
              <c:idx val="0"/>
              <c:layout>
                <c:manualLayout>
                  <c:x val="0"/>
                  <c:y val="4.6575337441987115E-2"/>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'2012 - Ciclo de Operação'!$B$37</c:f>
              <c:numCache>
                <c:formatCode>0</c:formatCode>
                <c:ptCount val="1"/>
                <c:pt idx="0">
                  <c:v>624</c:v>
                </c:pt>
              </c:numCache>
            </c:numRef>
          </c:val>
        </c:ser>
        <c:ser>
          <c:idx val="7"/>
          <c:order val="7"/>
          <c:invertIfNegative val="0"/>
          <c:dLbls>
            <c:dLbl>
              <c:idx val="0"/>
              <c:layout>
                <c:manualLayout>
                  <c:x val="0"/>
                  <c:y val="-0.16301368104695491"/>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'2012 - Ciclo de Operação'!$I$37</c:f>
              <c:numCache>
                <c:formatCode>General</c:formatCode>
                <c:ptCount val="1"/>
                <c:pt idx="0">
                  <c:v>4</c:v>
                </c:pt>
              </c:numCache>
            </c:numRef>
          </c:val>
        </c:ser>
        <c:ser>
          <c:idx val="8"/>
          <c:order val="8"/>
          <c:invertIfNegative val="0"/>
          <c:dLbls>
            <c:showLegendKey val="0"/>
            <c:showVal val="1"/>
            <c:showCatName val="0"/>
            <c:showSerName val="0"/>
            <c:showPercent val="0"/>
            <c:showBubbleSize val="0"/>
            <c:showLeaderLines val="0"/>
          </c:dLbls>
          <c:val>
            <c:numRef>
              <c:f>'2012 - Ciclo de Operação'!$B$38</c:f>
              <c:numCache>
                <c:formatCode>0</c:formatCode>
                <c:ptCount val="1"/>
                <c:pt idx="0">
                  <c:v>4872</c:v>
                </c:pt>
              </c:numCache>
            </c:numRef>
          </c:val>
        </c:ser>
        <c:ser>
          <c:idx val="9"/>
          <c:order val="9"/>
          <c:invertIfNegative val="0"/>
          <c:dLbls>
            <c:dLbl>
              <c:idx val="0"/>
              <c:layout>
                <c:manualLayout>
                  <c:x val="0"/>
                  <c:y val="-0.17077623728728608"/>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'2012 - Ciclo de Operação'!$I$38</c:f>
              <c:numCache>
                <c:formatCode>General</c:formatCode>
                <c:ptCount val="1"/>
                <c:pt idx="0">
                  <c:v>144</c:v>
                </c:pt>
              </c:numCache>
            </c:numRef>
          </c:val>
        </c:ser>
        <c:ser>
          <c:idx val="10"/>
          <c:order val="10"/>
          <c:invertIfNegative val="0"/>
          <c:dLbls>
            <c:showLegendKey val="0"/>
            <c:showVal val="1"/>
            <c:showCatName val="0"/>
            <c:showSerName val="0"/>
            <c:showPercent val="0"/>
            <c:showBubbleSize val="0"/>
            <c:showLeaderLines val="0"/>
          </c:dLbls>
          <c:val>
            <c:numRef>
              <c:f>'2012 - Ciclo de Operação'!$B$39</c:f>
              <c:numCache>
                <c:formatCode>0</c:formatCode>
                <c:ptCount val="1"/>
                <c:pt idx="0">
                  <c:v>2352</c:v>
                </c:pt>
              </c:numCache>
            </c:numRef>
          </c:val>
        </c:ser>
        <c:dLbls>
          <c:showLegendKey val="0"/>
          <c:showVal val="0"/>
          <c:showCatName val="0"/>
          <c:showSerName val="0"/>
          <c:showPercent val="0"/>
          <c:showBubbleSize val="0"/>
        </c:dLbls>
        <c:gapWidth val="150"/>
        <c:overlap val="100"/>
        <c:axId val="114048000"/>
        <c:axId val="114078464"/>
      </c:barChart>
      <c:catAx>
        <c:axId val="114048000"/>
        <c:scaling>
          <c:orientation val="minMax"/>
        </c:scaling>
        <c:delete val="1"/>
        <c:axPos val="l"/>
        <c:majorTickMark val="out"/>
        <c:minorTickMark val="none"/>
        <c:tickLblPos val="nextTo"/>
        <c:crossAx val="114078464"/>
        <c:crosses val="autoZero"/>
        <c:auto val="1"/>
        <c:lblAlgn val="ctr"/>
        <c:lblOffset val="100"/>
        <c:noMultiLvlLbl val="0"/>
      </c:catAx>
      <c:valAx>
        <c:axId val="114078464"/>
        <c:scaling>
          <c:orientation val="minMax"/>
        </c:scaling>
        <c:delete val="1"/>
        <c:axPos val="b"/>
        <c:numFmt formatCode="0" sourceLinked="1"/>
        <c:majorTickMark val="out"/>
        <c:minorTickMark val="none"/>
        <c:tickLblPos val="nextTo"/>
        <c:crossAx val="114048000"/>
        <c:crosses val="autoZero"/>
        <c:crossBetween val="between"/>
      </c:valAx>
      <c:spPr>
        <a:noFill/>
        <a:ln w="25400">
          <a:noFill/>
        </a:ln>
      </c:spPr>
    </c:plotArea>
    <c:plotVisOnly val="1"/>
    <c:dispBlanksAs val="gap"/>
    <c:showDLblsOverMax val="0"/>
  </c:chart>
  <c:printSettings>
    <c:headerFooter/>
    <c:pageMargins b="0.75" l="0.7" r="0.7" t="0.75" header="0.3" footer="0.3"/>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42"/>
    </mc:Choice>
    <mc:Fallback>
      <c:style val="42"/>
    </mc:Fallback>
  </mc:AlternateContent>
  <c:chart>
    <c:title>
      <c:tx>
        <c:rich>
          <a:bodyPr/>
          <a:lstStyle/>
          <a:p>
            <a:pPr>
              <a:defRPr/>
            </a:pPr>
            <a:r>
              <a:rPr lang="en-US"/>
              <a:t>Combustivel fossil 31 - Chaminé</a:t>
            </a:r>
          </a:p>
        </c:rich>
      </c:tx>
      <c:layout/>
      <c:overlay val="0"/>
    </c:title>
    <c:autoTitleDeleted val="0"/>
    <c:plotArea>
      <c:layout>
        <c:manualLayout>
          <c:layoutTarget val="inner"/>
          <c:xMode val="edge"/>
          <c:yMode val="edge"/>
          <c:x val="2.4691358024691357E-2"/>
          <c:y val="0.32444484748597435"/>
          <c:w val="0.95286195286195285"/>
          <c:h val="0.55961308824621336"/>
        </c:manualLayout>
      </c:layout>
      <c:barChart>
        <c:barDir val="bar"/>
        <c:grouping val="stacked"/>
        <c:varyColors val="0"/>
        <c:ser>
          <c:idx val="0"/>
          <c:order val="0"/>
          <c:invertIfNegative val="0"/>
          <c:dLbls>
            <c:showLegendKey val="0"/>
            <c:showVal val="1"/>
            <c:showCatName val="0"/>
            <c:showSerName val="0"/>
            <c:showPercent val="0"/>
            <c:showBubbleSize val="0"/>
            <c:showLeaderLines val="0"/>
          </c:dLbls>
          <c:val>
            <c:numRef>
              <c:f>'2015 - Ciclo de Operação'!$B$7</c:f>
              <c:numCache>
                <c:formatCode>General</c:formatCode>
                <c:ptCount val="1"/>
                <c:pt idx="0">
                  <c:v>672</c:v>
                </c:pt>
              </c:numCache>
            </c:numRef>
          </c:val>
        </c:ser>
        <c:ser>
          <c:idx val="1"/>
          <c:order val="1"/>
          <c:invertIfNegative val="0"/>
          <c:dLbls>
            <c:dLbl>
              <c:idx val="0"/>
              <c:layout>
                <c:manualLayout>
                  <c:x val="0"/>
                  <c:y val="-0.15458951310998192"/>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'2015 - Ciclo de Operação'!$I$7</c:f>
              <c:numCache>
                <c:formatCode>General</c:formatCode>
                <c:ptCount val="1"/>
                <c:pt idx="0">
                  <c:v>0.25</c:v>
                </c:pt>
              </c:numCache>
            </c:numRef>
          </c:val>
        </c:ser>
        <c:ser>
          <c:idx val="2"/>
          <c:order val="2"/>
          <c:invertIfNegative val="0"/>
          <c:dLbls>
            <c:showLegendKey val="0"/>
            <c:showVal val="1"/>
            <c:showCatName val="0"/>
            <c:showSerName val="0"/>
            <c:showPercent val="0"/>
            <c:showBubbleSize val="0"/>
            <c:showLeaderLines val="0"/>
          </c:dLbls>
          <c:val>
            <c:numRef>
              <c:f>'2015 - Ciclo de Operação'!$B$8</c:f>
              <c:numCache>
                <c:formatCode>General</c:formatCode>
                <c:ptCount val="1"/>
                <c:pt idx="0">
                  <c:v>3144</c:v>
                </c:pt>
              </c:numCache>
            </c:numRef>
          </c:val>
        </c:ser>
        <c:ser>
          <c:idx val="3"/>
          <c:order val="3"/>
          <c:invertIfNegative val="0"/>
          <c:dLbls>
            <c:dLbl>
              <c:idx val="0"/>
              <c:layout>
                <c:manualLayout>
                  <c:x val="0"/>
                  <c:y val="-0.16231898876548101"/>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'2015 - Ciclo de Operação'!$I$8</c:f>
              <c:numCache>
                <c:formatCode>General</c:formatCode>
                <c:ptCount val="1"/>
                <c:pt idx="0">
                  <c:v>2.5</c:v>
                </c:pt>
              </c:numCache>
            </c:numRef>
          </c:val>
        </c:ser>
        <c:ser>
          <c:idx val="4"/>
          <c:order val="4"/>
          <c:invertIfNegative val="0"/>
          <c:dLbls>
            <c:showLegendKey val="0"/>
            <c:showVal val="1"/>
            <c:showCatName val="0"/>
            <c:showSerName val="0"/>
            <c:showPercent val="0"/>
            <c:showBubbleSize val="0"/>
            <c:showLeaderLines val="0"/>
          </c:dLbls>
          <c:val>
            <c:numRef>
              <c:f>'2015 - Ciclo de Operação'!$B$9</c:f>
              <c:numCache>
                <c:formatCode>General</c:formatCode>
                <c:ptCount val="1"/>
                <c:pt idx="0">
                  <c:v>1944</c:v>
                </c:pt>
              </c:numCache>
            </c:numRef>
          </c:val>
        </c:ser>
        <c:ser>
          <c:idx val="5"/>
          <c:order val="5"/>
          <c:invertIfNegative val="0"/>
          <c:dLbls>
            <c:dLbl>
              <c:idx val="0"/>
              <c:layout>
                <c:manualLayout>
                  <c:x val="0"/>
                  <c:y val="-0.14686003745448281"/>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'2015 - Ciclo de Operação'!$I$9</c:f>
              <c:numCache>
                <c:formatCode>General</c:formatCode>
                <c:ptCount val="1"/>
                <c:pt idx="0">
                  <c:v>2</c:v>
                </c:pt>
              </c:numCache>
            </c:numRef>
          </c:val>
        </c:ser>
        <c:ser>
          <c:idx val="6"/>
          <c:order val="6"/>
          <c:invertIfNegative val="0"/>
          <c:dLbls>
            <c:showLegendKey val="0"/>
            <c:showVal val="1"/>
            <c:showCatName val="0"/>
            <c:showSerName val="0"/>
            <c:showPercent val="0"/>
            <c:showBubbleSize val="0"/>
            <c:showLeaderLines val="0"/>
          </c:dLbls>
          <c:val>
            <c:numRef>
              <c:f>'2015 - Ciclo de Operação'!$B$10</c:f>
              <c:numCache>
                <c:formatCode>General</c:formatCode>
                <c:ptCount val="1"/>
                <c:pt idx="0">
                  <c:v>2880</c:v>
                </c:pt>
              </c:numCache>
            </c:numRef>
          </c:val>
        </c:ser>
        <c:dLbls>
          <c:showLegendKey val="0"/>
          <c:showVal val="0"/>
          <c:showCatName val="0"/>
          <c:showSerName val="0"/>
          <c:showPercent val="0"/>
          <c:showBubbleSize val="0"/>
        </c:dLbls>
        <c:gapWidth val="150"/>
        <c:overlap val="100"/>
        <c:axId val="106153472"/>
        <c:axId val="106155008"/>
      </c:barChart>
      <c:catAx>
        <c:axId val="106153472"/>
        <c:scaling>
          <c:orientation val="minMax"/>
        </c:scaling>
        <c:delete val="1"/>
        <c:axPos val="l"/>
        <c:majorTickMark val="out"/>
        <c:minorTickMark val="none"/>
        <c:tickLblPos val="nextTo"/>
        <c:crossAx val="106155008"/>
        <c:crosses val="autoZero"/>
        <c:auto val="1"/>
        <c:lblAlgn val="ctr"/>
        <c:lblOffset val="100"/>
        <c:noMultiLvlLbl val="0"/>
      </c:catAx>
      <c:valAx>
        <c:axId val="106155008"/>
        <c:scaling>
          <c:orientation val="minMax"/>
        </c:scaling>
        <c:delete val="1"/>
        <c:axPos val="b"/>
        <c:numFmt formatCode="General" sourceLinked="1"/>
        <c:majorTickMark val="out"/>
        <c:minorTickMark val="none"/>
        <c:tickLblPos val="nextTo"/>
        <c:crossAx val="106153472"/>
        <c:crosses val="autoZero"/>
        <c:crossBetween val="between"/>
      </c:valAx>
      <c:spPr>
        <a:noFill/>
        <a:ln w="25400">
          <a:noFill/>
        </a:ln>
      </c:spPr>
    </c:plotArea>
    <c:plotVisOnly val="1"/>
    <c:dispBlanksAs val="gap"/>
    <c:showDLblsOverMax val="0"/>
  </c:chart>
  <c:printSettings>
    <c:headerFooter/>
    <c:pageMargins b="0.75" l="0.7" r="0.7" t="0.75" header="0.3" footer="0.3"/>
    <c:pageSetup/>
  </c:printSettings>
  <c:userShapes r:id="rId1"/>
</c:chartSpace>
</file>

<file path=xl/charts/chart70.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42"/>
    </mc:Choice>
    <mc:Fallback>
      <c:style val="42"/>
    </mc:Fallback>
  </mc:AlternateContent>
  <c:chart>
    <c:title>
      <c:tx>
        <c:rich>
          <a:bodyPr/>
          <a:lstStyle/>
          <a:p>
            <a:pPr>
              <a:defRPr/>
            </a:pPr>
            <a:r>
              <a:rPr lang="en-US"/>
              <a:t>Incinerador 3 - Alimentação</a:t>
            </a:r>
          </a:p>
        </c:rich>
      </c:tx>
      <c:layout/>
      <c:overlay val="0"/>
    </c:title>
    <c:autoTitleDeleted val="0"/>
    <c:plotArea>
      <c:layout>
        <c:manualLayout>
          <c:layoutTarget val="inner"/>
          <c:xMode val="edge"/>
          <c:yMode val="edge"/>
          <c:x val="2.4691358024691357E-2"/>
          <c:y val="0.32444484748597435"/>
          <c:w val="0.95286195286195285"/>
          <c:h val="0.55961308824621336"/>
        </c:manualLayout>
      </c:layout>
      <c:barChart>
        <c:barDir val="bar"/>
        <c:grouping val="stacked"/>
        <c:varyColors val="0"/>
        <c:ser>
          <c:idx val="0"/>
          <c:order val="0"/>
          <c:invertIfNegative val="0"/>
          <c:dLbls>
            <c:showLegendKey val="0"/>
            <c:showVal val="1"/>
            <c:showCatName val="0"/>
            <c:showSerName val="0"/>
            <c:showPercent val="0"/>
            <c:showBubbleSize val="0"/>
            <c:showLeaderLines val="0"/>
          </c:dLbls>
          <c:val>
            <c:numRef>
              <c:f>'2012 - Ciclo de Operação'!$B$40</c:f>
              <c:numCache>
                <c:formatCode>0</c:formatCode>
                <c:ptCount val="1"/>
                <c:pt idx="0">
                  <c:v>192</c:v>
                </c:pt>
              </c:numCache>
            </c:numRef>
          </c:val>
        </c:ser>
        <c:ser>
          <c:idx val="1"/>
          <c:order val="1"/>
          <c:invertIfNegative val="0"/>
          <c:dLbls>
            <c:dLbl>
              <c:idx val="0"/>
              <c:layout>
                <c:manualLayout>
                  <c:x val="2.4393729390179844E-3"/>
                  <c:y val="-0.16036749610711726"/>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'2012 - Ciclo de Operação'!$I$40</c:f>
              <c:numCache>
                <c:formatCode>General</c:formatCode>
                <c:ptCount val="1"/>
                <c:pt idx="0">
                  <c:v>2</c:v>
                </c:pt>
              </c:numCache>
            </c:numRef>
          </c:val>
        </c:ser>
        <c:ser>
          <c:idx val="2"/>
          <c:order val="2"/>
          <c:invertIfNegative val="0"/>
          <c:dLbls>
            <c:showLegendKey val="0"/>
            <c:showVal val="1"/>
            <c:showCatName val="0"/>
            <c:showSerName val="0"/>
            <c:showPercent val="0"/>
            <c:showBubbleSize val="0"/>
            <c:showLeaderLines val="0"/>
          </c:dLbls>
          <c:val>
            <c:numRef>
              <c:f>'2012 - Ciclo de Operação'!$B$41</c:f>
              <c:numCache>
                <c:formatCode>0</c:formatCode>
                <c:ptCount val="1"/>
                <c:pt idx="0">
                  <c:v>672</c:v>
                </c:pt>
              </c:numCache>
            </c:numRef>
          </c:val>
        </c:ser>
        <c:ser>
          <c:idx val="3"/>
          <c:order val="3"/>
          <c:invertIfNegative val="0"/>
          <c:dLbls>
            <c:dLbl>
              <c:idx val="0"/>
              <c:layout>
                <c:manualLayout>
                  <c:x val="0"/>
                  <c:y val="-0.16036749610711726"/>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'2012 - Ciclo de Operação'!$I$41</c:f>
              <c:numCache>
                <c:formatCode>General</c:formatCode>
                <c:ptCount val="1"/>
                <c:pt idx="0">
                  <c:v>2.5</c:v>
                </c:pt>
              </c:numCache>
            </c:numRef>
          </c:val>
        </c:ser>
        <c:ser>
          <c:idx val="4"/>
          <c:order val="4"/>
          <c:invertIfNegative val="0"/>
          <c:dLbls>
            <c:showLegendKey val="0"/>
            <c:showVal val="1"/>
            <c:showCatName val="0"/>
            <c:showSerName val="0"/>
            <c:showPercent val="0"/>
            <c:showBubbleSize val="0"/>
            <c:showLeaderLines val="0"/>
          </c:dLbls>
          <c:val>
            <c:numRef>
              <c:f>'2012 - Ciclo de Operação'!$B$42</c:f>
              <c:numCache>
                <c:formatCode>0</c:formatCode>
                <c:ptCount val="1"/>
                <c:pt idx="0">
                  <c:v>936</c:v>
                </c:pt>
              </c:numCache>
            </c:numRef>
          </c:val>
        </c:ser>
        <c:ser>
          <c:idx val="5"/>
          <c:order val="5"/>
          <c:invertIfNegative val="0"/>
          <c:dLbls>
            <c:dLbl>
              <c:idx val="0"/>
              <c:layout>
                <c:manualLayout>
                  <c:x val="0"/>
                  <c:y val="-0.16036749610711726"/>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'2012 - Ciclo de Operação'!$I$42</c:f>
              <c:numCache>
                <c:formatCode>General</c:formatCode>
                <c:ptCount val="1"/>
                <c:pt idx="0">
                  <c:v>0.5</c:v>
                </c:pt>
              </c:numCache>
            </c:numRef>
          </c:val>
        </c:ser>
        <c:ser>
          <c:idx val="6"/>
          <c:order val="6"/>
          <c:invertIfNegative val="0"/>
          <c:dLbls>
            <c:showLegendKey val="0"/>
            <c:showVal val="1"/>
            <c:showCatName val="0"/>
            <c:showSerName val="0"/>
            <c:showPercent val="0"/>
            <c:showBubbleSize val="0"/>
            <c:showLeaderLines val="0"/>
          </c:dLbls>
          <c:val>
            <c:numRef>
              <c:f>'2012 - Ciclo de Operação'!$B$43</c:f>
              <c:numCache>
                <c:formatCode>0</c:formatCode>
                <c:ptCount val="1"/>
                <c:pt idx="0">
                  <c:v>6840</c:v>
                </c:pt>
              </c:numCache>
            </c:numRef>
          </c:val>
        </c:ser>
        <c:dLbls>
          <c:showLegendKey val="0"/>
          <c:showVal val="0"/>
          <c:showCatName val="0"/>
          <c:showSerName val="0"/>
          <c:showPercent val="0"/>
          <c:showBubbleSize val="0"/>
        </c:dLbls>
        <c:gapWidth val="150"/>
        <c:overlap val="100"/>
        <c:axId val="114139904"/>
        <c:axId val="114141440"/>
      </c:barChart>
      <c:catAx>
        <c:axId val="114139904"/>
        <c:scaling>
          <c:orientation val="minMax"/>
        </c:scaling>
        <c:delete val="1"/>
        <c:axPos val="l"/>
        <c:majorTickMark val="out"/>
        <c:minorTickMark val="none"/>
        <c:tickLblPos val="nextTo"/>
        <c:crossAx val="114141440"/>
        <c:crosses val="autoZero"/>
        <c:auto val="1"/>
        <c:lblAlgn val="ctr"/>
        <c:lblOffset val="100"/>
        <c:noMultiLvlLbl val="0"/>
      </c:catAx>
      <c:valAx>
        <c:axId val="114141440"/>
        <c:scaling>
          <c:orientation val="minMax"/>
        </c:scaling>
        <c:delete val="1"/>
        <c:axPos val="b"/>
        <c:numFmt formatCode="0" sourceLinked="1"/>
        <c:majorTickMark val="out"/>
        <c:minorTickMark val="none"/>
        <c:tickLblPos val="nextTo"/>
        <c:crossAx val="114139904"/>
        <c:crosses val="autoZero"/>
        <c:crossBetween val="between"/>
      </c:valAx>
      <c:spPr>
        <a:noFill/>
        <a:ln w="25400">
          <a:noFill/>
        </a:ln>
      </c:spPr>
    </c:plotArea>
    <c:plotVisOnly val="1"/>
    <c:dispBlanksAs val="gap"/>
    <c:showDLblsOverMax val="0"/>
  </c:chart>
  <c:printSettings>
    <c:headerFooter/>
    <c:pageMargins b="0.75" l="0.7" r="0.7" t="0.75" header="0.3" footer="0.3"/>
    <c:pageSetup/>
  </c:printSettings>
  <c:userShapes r:id="rId1"/>
</c:chartSpace>
</file>

<file path=xl/charts/chart71.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42"/>
    </mc:Choice>
    <mc:Fallback>
      <c:style val="42"/>
    </mc:Fallback>
  </mc:AlternateContent>
  <c:chart>
    <c:title>
      <c:tx>
        <c:rich>
          <a:bodyPr/>
          <a:lstStyle/>
          <a:p>
            <a:pPr>
              <a:defRPr/>
            </a:pPr>
            <a:r>
              <a:rPr lang="en-US"/>
              <a:t>Incinerador 3 - Chaminé</a:t>
            </a:r>
          </a:p>
        </c:rich>
      </c:tx>
      <c:layout/>
      <c:overlay val="0"/>
    </c:title>
    <c:autoTitleDeleted val="0"/>
    <c:plotArea>
      <c:layout>
        <c:manualLayout>
          <c:layoutTarget val="inner"/>
          <c:xMode val="edge"/>
          <c:yMode val="edge"/>
          <c:x val="2.4691358024691357E-2"/>
          <c:y val="0.32444484748597435"/>
          <c:w val="0.95286195286195285"/>
          <c:h val="0.55961308824621336"/>
        </c:manualLayout>
      </c:layout>
      <c:barChart>
        <c:barDir val="bar"/>
        <c:grouping val="stacked"/>
        <c:varyColors val="0"/>
        <c:ser>
          <c:idx val="0"/>
          <c:order val="0"/>
          <c:invertIfNegative val="0"/>
          <c:dLbls>
            <c:showLegendKey val="0"/>
            <c:showVal val="1"/>
            <c:showCatName val="0"/>
            <c:showSerName val="0"/>
            <c:showPercent val="0"/>
            <c:showBubbleSize val="0"/>
            <c:showLeaderLines val="0"/>
          </c:dLbls>
          <c:val>
            <c:numRef>
              <c:f>'2012 - Ciclo de Operação'!$B$44</c:f>
              <c:numCache>
                <c:formatCode>0</c:formatCode>
                <c:ptCount val="1"/>
                <c:pt idx="0">
                  <c:v>288</c:v>
                </c:pt>
              </c:numCache>
            </c:numRef>
          </c:val>
        </c:ser>
        <c:ser>
          <c:idx val="1"/>
          <c:order val="1"/>
          <c:invertIfNegative val="0"/>
          <c:dLbls>
            <c:dLbl>
              <c:idx val="0"/>
              <c:layout>
                <c:manualLayout>
                  <c:x val="0"/>
                  <c:y val="-0.1519271015751637"/>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'2012 - Ciclo de Operação'!$I$44</c:f>
              <c:numCache>
                <c:formatCode>General</c:formatCode>
                <c:ptCount val="1"/>
                <c:pt idx="0">
                  <c:v>1</c:v>
                </c:pt>
              </c:numCache>
            </c:numRef>
          </c:val>
        </c:ser>
        <c:ser>
          <c:idx val="2"/>
          <c:order val="2"/>
          <c:invertIfNegative val="0"/>
          <c:dLbls>
            <c:showLegendKey val="0"/>
            <c:showVal val="1"/>
            <c:showCatName val="0"/>
            <c:showSerName val="0"/>
            <c:showPercent val="0"/>
            <c:showBubbleSize val="0"/>
            <c:showLeaderLines val="0"/>
          </c:dLbls>
          <c:val>
            <c:numRef>
              <c:f>'2012 - Ciclo de Operação'!$B$45</c:f>
              <c:numCache>
                <c:formatCode>0</c:formatCode>
                <c:ptCount val="1"/>
                <c:pt idx="0">
                  <c:v>3024</c:v>
                </c:pt>
              </c:numCache>
            </c:numRef>
          </c:val>
        </c:ser>
        <c:ser>
          <c:idx val="3"/>
          <c:order val="3"/>
          <c:invertIfNegative val="0"/>
          <c:dLbls>
            <c:dLbl>
              <c:idx val="0"/>
              <c:layout>
                <c:manualLayout>
                  <c:x val="0"/>
                  <c:y val="-0.16036749610711726"/>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'2012 - Ciclo de Operação'!$I$45</c:f>
              <c:numCache>
                <c:formatCode>General</c:formatCode>
                <c:ptCount val="1"/>
                <c:pt idx="0">
                  <c:v>0.5</c:v>
                </c:pt>
              </c:numCache>
            </c:numRef>
          </c:val>
        </c:ser>
        <c:ser>
          <c:idx val="4"/>
          <c:order val="4"/>
          <c:invertIfNegative val="0"/>
          <c:dLbls>
            <c:showLegendKey val="0"/>
            <c:showVal val="1"/>
            <c:showCatName val="0"/>
            <c:showSerName val="0"/>
            <c:showPercent val="0"/>
            <c:showBubbleSize val="0"/>
            <c:showLeaderLines val="0"/>
          </c:dLbls>
          <c:val>
            <c:numRef>
              <c:f>'2012 - Ciclo de Operação'!$B$46</c:f>
              <c:numCache>
                <c:formatCode>0</c:formatCode>
                <c:ptCount val="1"/>
                <c:pt idx="0">
                  <c:v>1224</c:v>
                </c:pt>
              </c:numCache>
            </c:numRef>
          </c:val>
        </c:ser>
        <c:ser>
          <c:idx val="5"/>
          <c:order val="5"/>
          <c:invertIfNegative val="0"/>
          <c:dLbls>
            <c:dLbl>
              <c:idx val="0"/>
              <c:layout>
                <c:manualLayout>
                  <c:x val="2.4279510310953613E-3"/>
                  <c:y val="-0.1519271015751637"/>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'2012 - Ciclo de Operação'!$I$46</c:f>
              <c:numCache>
                <c:formatCode>General</c:formatCode>
                <c:ptCount val="1"/>
                <c:pt idx="0">
                  <c:v>1</c:v>
                </c:pt>
              </c:numCache>
            </c:numRef>
          </c:val>
        </c:ser>
        <c:ser>
          <c:idx val="6"/>
          <c:order val="6"/>
          <c:invertIfNegative val="0"/>
          <c:dLbls>
            <c:showLegendKey val="0"/>
            <c:showVal val="1"/>
            <c:showCatName val="0"/>
            <c:showSerName val="0"/>
            <c:showPercent val="0"/>
            <c:showBubbleSize val="0"/>
            <c:showLeaderLines val="0"/>
          </c:dLbls>
          <c:val>
            <c:numRef>
              <c:f>'2012 - Ciclo de Operação'!$B$47</c:f>
              <c:numCache>
                <c:formatCode>0</c:formatCode>
                <c:ptCount val="1"/>
                <c:pt idx="0">
                  <c:v>2016</c:v>
                </c:pt>
              </c:numCache>
            </c:numRef>
          </c:val>
        </c:ser>
        <c:ser>
          <c:idx val="7"/>
          <c:order val="7"/>
          <c:invertIfNegative val="0"/>
          <c:dLbls>
            <c:dLbl>
              <c:idx val="0"/>
              <c:layout>
                <c:manualLayout>
                  <c:x val="0"/>
                  <c:y val="-0.1519271015751637"/>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'2012 - Ciclo de Operação'!$I$47</c:f>
              <c:numCache>
                <c:formatCode>General</c:formatCode>
                <c:ptCount val="1"/>
                <c:pt idx="0">
                  <c:v>2</c:v>
                </c:pt>
              </c:numCache>
            </c:numRef>
          </c:val>
        </c:ser>
        <c:ser>
          <c:idx val="8"/>
          <c:order val="8"/>
          <c:invertIfNegative val="0"/>
          <c:dLbls>
            <c:showLegendKey val="0"/>
            <c:showVal val="1"/>
            <c:showCatName val="0"/>
            <c:showSerName val="0"/>
            <c:showPercent val="0"/>
            <c:showBubbleSize val="0"/>
            <c:showLeaderLines val="0"/>
          </c:dLbls>
          <c:val>
            <c:numRef>
              <c:f>'2012 - Ciclo de Operação'!$B$48</c:f>
              <c:numCache>
                <c:formatCode>0</c:formatCode>
                <c:ptCount val="1"/>
                <c:pt idx="0">
                  <c:v>2088</c:v>
                </c:pt>
              </c:numCache>
            </c:numRef>
          </c:val>
        </c:ser>
        <c:dLbls>
          <c:showLegendKey val="0"/>
          <c:showVal val="0"/>
          <c:showCatName val="0"/>
          <c:showSerName val="0"/>
          <c:showPercent val="0"/>
          <c:showBubbleSize val="0"/>
        </c:dLbls>
        <c:gapWidth val="150"/>
        <c:overlap val="100"/>
        <c:axId val="114234112"/>
        <c:axId val="114235648"/>
      </c:barChart>
      <c:catAx>
        <c:axId val="114234112"/>
        <c:scaling>
          <c:orientation val="minMax"/>
        </c:scaling>
        <c:delete val="1"/>
        <c:axPos val="l"/>
        <c:majorTickMark val="out"/>
        <c:minorTickMark val="none"/>
        <c:tickLblPos val="nextTo"/>
        <c:crossAx val="114235648"/>
        <c:crosses val="autoZero"/>
        <c:auto val="1"/>
        <c:lblAlgn val="ctr"/>
        <c:lblOffset val="100"/>
        <c:noMultiLvlLbl val="0"/>
      </c:catAx>
      <c:valAx>
        <c:axId val="114235648"/>
        <c:scaling>
          <c:orientation val="minMax"/>
        </c:scaling>
        <c:delete val="1"/>
        <c:axPos val="b"/>
        <c:numFmt formatCode="0" sourceLinked="1"/>
        <c:majorTickMark val="out"/>
        <c:minorTickMark val="none"/>
        <c:tickLblPos val="nextTo"/>
        <c:crossAx val="114234112"/>
        <c:crosses val="autoZero"/>
        <c:crossBetween val="between"/>
      </c:valAx>
      <c:spPr>
        <a:noFill/>
        <a:ln w="25400">
          <a:noFill/>
        </a:ln>
      </c:spPr>
    </c:plotArea>
    <c:plotVisOnly val="1"/>
    <c:dispBlanksAs val="gap"/>
    <c:showDLblsOverMax val="0"/>
  </c:chart>
  <c:printSettings>
    <c:headerFooter/>
    <c:pageMargins b="0.75" l="0.7" r="0.7" t="0.75" header="0.3" footer="0.3"/>
    <c:pageSetup/>
  </c:printSettings>
  <c:userShapes r:id="rId1"/>
</c:chartSpace>
</file>

<file path=xl/charts/chart72.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42"/>
    </mc:Choice>
    <mc:Fallback>
      <c:style val="42"/>
    </mc:Fallback>
  </mc:AlternateContent>
  <c:chart>
    <c:title>
      <c:tx>
        <c:rich>
          <a:bodyPr/>
          <a:lstStyle/>
          <a:p>
            <a:pPr>
              <a:defRPr/>
            </a:pPr>
            <a:r>
              <a:rPr lang="en-US"/>
              <a:t>Incinerador 3 - Aquecedor</a:t>
            </a:r>
          </a:p>
        </c:rich>
      </c:tx>
      <c:layout/>
      <c:overlay val="0"/>
    </c:title>
    <c:autoTitleDeleted val="0"/>
    <c:plotArea>
      <c:layout>
        <c:manualLayout>
          <c:layoutTarget val="inner"/>
          <c:xMode val="edge"/>
          <c:yMode val="edge"/>
          <c:x val="2.4691358024691357E-2"/>
          <c:y val="0.32444484748597435"/>
          <c:w val="0.95286195286195285"/>
          <c:h val="0.55961308824621336"/>
        </c:manualLayout>
      </c:layout>
      <c:barChart>
        <c:barDir val="bar"/>
        <c:grouping val="stacked"/>
        <c:varyColors val="0"/>
        <c:ser>
          <c:idx val="0"/>
          <c:order val="0"/>
          <c:invertIfNegative val="0"/>
          <c:dLbls>
            <c:dLbl>
              <c:idx val="0"/>
              <c:layout>
                <c:manualLayout>
                  <c:x val="0"/>
                  <c:y val="-6.7523156255628311E-2"/>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'2012 - Ciclo de Operação'!$B$49</c:f>
              <c:numCache>
                <c:formatCode>0</c:formatCode>
                <c:ptCount val="1"/>
                <c:pt idx="0">
                  <c:v>240</c:v>
                </c:pt>
              </c:numCache>
            </c:numRef>
          </c:val>
        </c:ser>
        <c:ser>
          <c:idx val="1"/>
          <c:order val="1"/>
          <c:invertIfNegative val="0"/>
          <c:dLbls>
            <c:dLbl>
              <c:idx val="0"/>
              <c:layout>
                <c:manualLayout>
                  <c:x val="0"/>
                  <c:y val="-0.16880789063907078"/>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'2012 - Ciclo de Operação'!$I$49</c:f>
              <c:numCache>
                <c:formatCode>General</c:formatCode>
                <c:ptCount val="1"/>
                <c:pt idx="0">
                  <c:v>1</c:v>
                </c:pt>
              </c:numCache>
            </c:numRef>
          </c:val>
        </c:ser>
        <c:ser>
          <c:idx val="2"/>
          <c:order val="2"/>
          <c:invertIfNegative val="0"/>
          <c:dLbls>
            <c:dLbl>
              <c:idx val="0"/>
              <c:layout>
                <c:manualLayout>
                  <c:x val="2.4338453990739887E-3"/>
                  <c:y val="6.7523156255628311E-2"/>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'2012 - Ciclo de Operação'!$B$50</c:f>
              <c:numCache>
                <c:formatCode>0</c:formatCode>
                <c:ptCount val="1"/>
                <c:pt idx="0">
                  <c:v>24</c:v>
                </c:pt>
              </c:numCache>
            </c:numRef>
          </c:val>
        </c:ser>
        <c:ser>
          <c:idx val="3"/>
          <c:order val="3"/>
          <c:invertIfNegative val="0"/>
          <c:dLbls>
            <c:dLbl>
              <c:idx val="0"/>
              <c:layout>
                <c:manualLayout>
                  <c:x val="-1.9164137000303715E-7"/>
                  <c:y val="-0.24477144142665264"/>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'2012 - Ciclo de Operação'!$I$50</c:f>
              <c:numCache>
                <c:formatCode>General</c:formatCode>
                <c:ptCount val="1"/>
                <c:pt idx="0">
                  <c:v>2.5</c:v>
                </c:pt>
              </c:numCache>
            </c:numRef>
          </c:val>
        </c:ser>
        <c:ser>
          <c:idx val="4"/>
          <c:order val="4"/>
          <c:invertIfNegative val="0"/>
          <c:dLbls>
            <c:showLegendKey val="0"/>
            <c:showVal val="1"/>
            <c:showCatName val="0"/>
            <c:showSerName val="0"/>
            <c:showPercent val="0"/>
            <c:showBubbleSize val="0"/>
            <c:showLeaderLines val="0"/>
          </c:dLbls>
          <c:val>
            <c:numRef>
              <c:f>'2012 - Ciclo de Operação'!$B$51</c:f>
              <c:numCache>
                <c:formatCode>0</c:formatCode>
                <c:ptCount val="1"/>
                <c:pt idx="0">
                  <c:v>1248</c:v>
                </c:pt>
              </c:numCache>
            </c:numRef>
          </c:val>
        </c:ser>
        <c:ser>
          <c:idx val="5"/>
          <c:order val="5"/>
          <c:invertIfNegative val="0"/>
          <c:dLbls>
            <c:dLbl>
              <c:idx val="0"/>
              <c:layout>
                <c:manualLayout>
                  <c:x val="0"/>
                  <c:y val="-0.16036749610711726"/>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'2012 - Ciclo de Operação'!$I$51</c:f>
              <c:numCache>
                <c:formatCode>General</c:formatCode>
                <c:ptCount val="1"/>
                <c:pt idx="0">
                  <c:v>2</c:v>
                </c:pt>
              </c:numCache>
            </c:numRef>
          </c:val>
        </c:ser>
        <c:ser>
          <c:idx val="6"/>
          <c:order val="6"/>
          <c:invertIfNegative val="0"/>
          <c:dLbls>
            <c:showLegendKey val="0"/>
            <c:showVal val="1"/>
            <c:showCatName val="0"/>
            <c:showSerName val="0"/>
            <c:showPercent val="0"/>
            <c:showBubbleSize val="0"/>
            <c:showLeaderLines val="0"/>
          </c:dLbls>
          <c:val>
            <c:numRef>
              <c:f>'2012 - Ciclo de Operação'!$B$52</c:f>
              <c:numCache>
                <c:formatCode>0</c:formatCode>
                <c:ptCount val="1"/>
                <c:pt idx="0">
                  <c:v>24</c:v>
                </c:pt>
              </c:numCache>
            </c:numRef>
          </c:val>
        </c:ser>
        <c:ser>
          <c:idx val="7"/>
          <c:order val="7"/>
          <c:invertIfNegative val="0"/>
          <c:dLbls>
            <c:dLbl>
              <c:idx val="0"/>
              <c:layout>
                <c:manualLayout>
                  <c:x val="0"/>
                  <c:y val="-0.16036749610711726"/>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'2012 - Ciclo de Operação'!$I$52</c:f>
              <c:numCache>
                <c:formatCode>General</c:formatCode>
                <c:ptCount val="1"/>
                <c:pt idx="0">
                  <c:v>1.5</c:v>
                </c:pt>
              </c:numCache>
            </c:numRef>
          </c:val>
        </c:ser>
        <c:ser>
          <c:idx val="8"/>
          <c:order val="8"/>
          <c:invertIfNegative val="0"/>
          <c:dLbls>
            <c:showLegendKey val="0"/>
            <c:showVal val="1"/>
            <c:showCatName val="0"/>
            <c:showSerName val="0"/>
            <c:showPercent val="0"/>
            <c:showBubbleSize val="0"/>
            <c:showLeaderLines val="0"/>
          </c:dLbls>
          <c:val>
            <c:numRef>
              <c:f>'2012 - Ciclo de Operação'!$B$53</c:f>
              <c:numCache>
                <c:formatCode>0</c:formatCode>
                <c:ptCount val="1"/>
                <c:pt idx="0">
                  <c:v>1176</c:v>
                </c:pt>
              </c:numCache>
            </c:numRef>
          </c:val>
        </c:ser>
        <c:ser>
          <c:idx val="9"/>
          <c:order val="9"/>
          <c:invertIfNegative val="0"/>
          <c:dLbls>
            <c:dLbl>
              <c:idx val="0"/>
              <c:layout>
                <c:manualLayout>
                  <c:x val="2.4393729390179814E-3"/>
                  <c:y val="-0.16036749610711726"/>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'2012 - Ciclo de Operação'!$I$53</c:f>
              <c:numCache>
                <c:formatCode>General</c:formatCode>
                <c:ptCount val="1"/>
                <c:pt idx="0">
                  <c:v>2.5</c:v>
                </c:pt>
              </c:numCache>
            </c:numRef>
          </c:val>
        </c:ser>
        <c:ser>
          <c:idx val="10"/>
          <c:order val="10"/>
          <c:invertIfNegative val="0"/>
          <c:dLbls>
            <c:showLegendKey val="0"/>
            <c:showVal val="1"/>
            <c:showCatName val="0"/>
            <c:showSerName val="0"/>
            <c:showPercent val="0"/>
            <c:showBubbleSize val="0"/>
            <c:showLeaderLines val="0"/>
          </c:dLbls>
          <c:val>
            <c:numRef>
              <c:f>'2012 - Ciclo de Operação'!$B$54</c:f>
              <c:numCache>
                <c:formatCode>0</c:formatCode>
                <c:ptCount val="1"/>
                <c:pt idx="0">
                  <c:v>1128</c:v>
                </c:pt>
              </c:numCache>
            </c:numRef>
          </c:val>
        </c:ser>
        <c:ser>
          <c:idx val="11"/>
          <c:order val="11"/>
          <c:invertIfNegative val="0"/>
          <c:dLbls>
            <c:dLbl>
              <c:idx val="0"/>
              <c:layout>
                <c:manualLayout>
                  <c:x val="0"/>
                  <c:y val="-0.16036749610711726"/>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'2012 - Ciclo de Operação'!$I$54</c:f>
              <c:numCache>
                <c:formatCode>General</c:formatCode>
                <c:ptCount val="1"/>
                <c:pt idx="0">
                  <c:v>1.5</c:v>
                </c:pt>
              </c:numCache>
            </c:numRef>
          </c:val>
        </c:ser>
        <c:ser>
          <c:idx val="12"/>
          <c:order val="12"/>
          <c:invertIfNegative val="0"/>
          <c:dLbls>
            <c:showLegendKey val="0"/>
            <c:showVal val="1"/>
            <c:showCatName val="0"/>
            <c:showSerName val="0"/>
            <c:showPercent val="0"/>
            <c:showBubbleSize val="0"/>
            <c:showLeaderLines val="0"/>
          </c:dLbls>
          <c:val>
            <c:numRef>
              <c:f>'2012 - Ciclo de Operação'!$B$55</c:f>
              <c:numCache>
                <c:formatCode>0</c:formatCode>
                <c:ptCount val="1"/>
                <c:pt idx="0">
                  <c:v>2328</c:v>
                </c:pt>
              </c:numCache>
            </c:numRef>
          </c:val>
        </c:ser>
        <c:ser>
          <c:idx val="13"/>
          <c:order val="13"/>
          <c:invertIfNegative val="0"/>
          <c:dLbls>
            <c:dLbl>
              <c:idx val="0"/>
              <c:layout>
                <c:manualLayout>
                  <c:x val="0"/>
                  <c:y val="-0.16880789063907078"/>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'2012 - Ciclo de Operação'!$I$55</c:f>
              <c:numCache>
                <c:formatCode>General</c:formatCode>
                <c:ptCount val="1"/>
                <c:pt idx="0">
                  <c:v>72</c:v>
                </c:pt>
              </c:numCache>
            </c:numRef>
          </c:val>
        </c:ser>
        <c:ser>
          <c:idx val="14"/>
          <c:order val="14"/>
          <c:invertIfNegative val="0"/>
          <c:dLbls>
            <c:showLegendKey val="0"/>
            <c:showVal val="1"/>
            <c:showCatName val="0"/>
            <c:showSerName val="0"/>
            <c:showPercent val="0"/>
            <c:showBubbleSize val="0"/>
            <c:showLeaderLines val="0"/>
          </c:dLbls>
          <c:val>
            <c:numRef>
              <c:f>'2012 - Ciclo de Operação'!$B$56</c:f>
              <c:numCache>
                <c:formatCode>0</c:formatCode>
                <c:ptCount val="1"/>
                <c:pt idx="0">
                  <c:v>2472</c:v>
                </c:pt>
              </c:numCache>
            </c:numRef>
          </c:val>
        </c:ser>
        <c:dLbls>
          <c:showLegendKey val="0"/>
          <c:showVal val="0"/>
          <c:showCatName val="0"/>
          <c:showSerName val="0"/>
          <c:showPercent val="0"/>
          <c:showBubbleSize val="0"/>
        </c:dLbls>
        <c:gapWidth val="150"/>
        <c:overlap val="100"/>
        <c:axId val="114622464"/>
        <c:axId val="114624000"/>
      </c:barChart>
      <c:catAx>
        <c:axId val="114622464"/>
        <c:scaling>
          <c:orientation val="minMax"/>
        </c:scaling>
        <c:delete val="1"/>
        <c:axPos val="l"/>
        <c:majorTickMark val="out"/>
        <c:minorTickMark val="none"/>
        <c:tickLblPos val="nextTo"/>
        <c:crossAx val="114624000"/>
        <c:crosses val="autoZero"/>
        <c:auto val="1"/>
        <c:lblAlgn val="ctr"/>
        <c:lblOffset val="100"/>
        <c:noMultiLvlLbl val="0"/>
      </c:catAx>
      <c:valAx>
        <c:axId val="114624000"/>
        <c:scaling>
          <c:orientation val="minMax"/>
        </c:scaling>
        <c:delete val="1"/>
        <c:axPos val="b"/>
        <c:numFmt formatCode="0" sourceLinked="1"/>
        <c:majorTickMark val="out"/>
        <c:minorTickMark val="none"/>
        <c:tickLblPos val="nextTo"/>
        <c:crossAx val="114622464"/>
        <c:crosses val="autoZero"/>
        <c:crossBetween val="between"/>
      </c:valAx>
      <c:spPr>
        <a:noFill/>
        <a:ln w="25400">
          <a:noFill/>
        </a:ln>
      </c:spPr>
    </c:plotArea>
    <c:plotVisOnly val="1"/>
    <c:dispBlanksAs val="gap"/>
    <c:showDLblsOverMax val="0"/>
  </c:chart>
  <c:printSettings>
    <c:headerFooter/>
    <c:pageMargins b="0.75" l="0.7" r="0.7" t="0.75" header="0.3" footer="0.3"/>
    <c:pageSetup/>
  </c:printSettings>
  <c:userShapes r:id="rId1"/>
</c:chartSpace>
</file>

<file path=xl/charts/chart73.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42"/>
    </mc:Choice>
    <mc:Fallback>
      <c:style val="42"/>
    </mc:Fallback>
  </mc:AlternateContent>
  <c:chart>
    <c:title>
      <c:tx>
        <c:rich>
          <a:bodyPr/>
          <a:lstStyle/>
          <a:p>
            <a:pPr>
              <a:defRPr/>
            </a:pPr>
            <a:r>
              <a:rPr lang="en-US"/>
              <a:t>Moinho3</a:t>
            </a:r>
          </a:p>
        </c:rich>
      </c:tx>
      <c:layout/>
      <c:overlay val="0"/>
    </c:title>
    <c:autoTitleDeleted val="0"/>
    <c:plotArea>
      <c:layout>
        <c:manualLayout>
          <c:layoutTarget val="inner"/>
          <c:xMode val="edge"/>
          <c:yMode val="edge"/>
          <c:x val="2.4691358024691357E-2"/>
          <c:y val="0.32444484748597435"/>
          <c:w val="0.95286195286195285"/>
          <c:h val="0.55961308824621336"/>
        </c:manualLayout>
      </c:layout>
      <c:barChart>
        <c:barDir val="bar"/>
        <c:grouping val="stacked"/>
        <c:varyColors val="0"/>
        <c:ser>
          <c:idx val="0"/>
          <c:order val="0"/>
          <c:invertIfNegative val="0"/>
          <c:dLbls>
            <c:showLegendKey val="0"/>
            <c:showVal val="1"/>
            <c:showCatName val="0"/>
            <c:showSerName val="0"/>
            <c:showPercent val="0"/>
            <c:showBubbleSize val="0"/>
            <c:showLeaderLines val="0"/>
          </c:dLbls>
          <c:val>
            <c:numRef>
              <c:f>'2012 - Ciclo de Operação'!$B$57</c:f>
              <c:numCache>
                <c:formatCode>0</c:formatCode>
                <c:ptCount val="1"/>
                <c:pt idx="0">
                  <c:v>648</c:v>
                </c:pt>
              </c:numCache>
            </c:numRef>
          </c:val>
        </c:ser>
        <c:ser>
          <c:idx val="1"/>
          <c:order val="1"/>
          <c:invertIfNegative val="0"/>
          <c:dLbls>
            <c:dLbl>
              <c:idx val="0"/>
              <c:layout>
                <c:manualLayout>
                  <c:x val="0"/>
                  <c:y val="-0.17077623728728608"/>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'2012 - Ciclo de Operação'!$I$57</c:f>
              <c:numCache>
                <c:formatCode>General</c:formatCode>
                <c:ptCount val="1"/>
                <c:pt idx="0">
                  <c:v>1</c:v>
                </c:pt>
              </c:numCache>
            </c:numRef>
          </c:val>
        </c:ser>
        <c:ser>
          <c:idx val="2"/>
          <c:order val="2"/>
          <c:invertIfNegative val="0"/>
          <c:dLbls>
            <c:showLegendKey val="0"/>
            <c:showVal val="1"/>
            <c:showCatName val="0"/>
            <c:showSerName val="0"/>
            <c:showPercent val="0"/>
            <c:showBubbleSize val="0"/>
            <c:showLeaderLines val="0"/>
          </c:dLbls>
          <c:val>
            <c:numRef>
              <c:f>'2012 - Ciclo de Operação'!$B$58</c:f>
              <c:numCache>
                <c:formatCode>0</c:formatCode>
                <c:ptCount val="1"/>
                <c:pt idx="0">
                  <c:v>7992</c:v>
                </c:pt>
              </c:numCache>
            </c:numRef>
          </c:val>
        </c:ser>
        <c:dLbls>
          <c:showLegendKey val="0"/>
          <c:showVal val="0"/>
          <c:showCatName val="0"/>
          <c:showSerName val="0"/>
          <c:showPercent val="0"/>
          <c:showBubbleSize val="0"/>
        </c:dLbls>
        <c:gapWidth val="150"/>
        <c:overlap val="100"/>
        <c:axId val="114660096"/>
        <c:axId val="114661632"/>
      </c:barChart>
      <c:catAx>
        <c:axId val="114660096"/>
        <c:scaling>
          <c:orientation val="minMax"/>
        </c:scaling>
        <c:delete val="1"/>
        <c:axPos val="l"/>
        <c:majorTickMark val="out"/>
        <c:minorTickMark val="none"/>
        <c:tickLblPos val="nextTo"/>
        <c:crossAx val="114661632"/>
        <c:crosses val="autoZero"/>
        <c:auto val="1"/>
        <c:lblAlgn val="ctr"/>
        <c:lblOffset val="100"/>
        <c:noMultiLvlLbl val="0"/>
      </c:catAx>
      <c:valAx>
        <c:axId val="114661632"/>
        <c:scaling>
          <c:orientation val="minMax"/>
        </c:scaling>
        <c:delete val="1"/>
        <c:axPos val="b"/>
        <c:numFmt formatCode="0" sourceLinked="1"/>
        <c:majorTickMark val="out"/>
        <c:minorTickMark val="none"/>
        <c:tickLblPos val="nextTo"/>
        <c:crossAx val="114660096"/>
        <c:crosses val="autoZero"/>
        <c:crossBetween val="between"/>
      </c:valAx>
      <c:spPr>
        <a:noFill/>
        <a:ln w="25400">
          <a:noFill/>
        </a:ln>
      </c:spPr>
    </c:plotArea>
    <c:plotVisOnly val="1"/>
    <c:dispBlanksAs val="gap"/>
    <c:showDLblsOverMax val="0"/>
  </c:chart>
  <c:printSettings>
    <c:headerFooter/>
    <c:pageMargins b="0.75" l="0.7" r="0.7" t="0.75" header="0.3" footer="0.3"/>
    <c:pageSetup/>
  </c:printSettings>
  <c:userShapes r:id="rId1"/>
</c:chartSpace>
</file>

<file path=xl/charts/chart74.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42"/>
    </mc:Choice>
    <mc:Fallback>
      <c:style val="42"/>
    </mc:Fallback>
  </mc:AlternateContent>
  <c:chart>
    <c:title>
      <c:tx>
        <c:rich>
          <a:bodyPr/>
          <a:lstStyle/>
          <a:p>
            <a:pPr>
              <a:defRPr/>
            </a:pPr>
            <a:r>
              <a:rPr lang="en-US"/>
              <a:t>Moinho 4</a:t>
            </a:r>
          </a:p>
        </c:rich>
      </c:tx>
      <c:layout/>
      <c:overlay val="0"/>
    </c:title>
    <c:autoTitleDeleted val="0"/>
    <c:plotArea>
      <c:layout>
        <c:manualLayout>
          <c:layoutTarget val="inner"/>
          <c:xMode val="edge"/>
          <c:yMode val="edge"/>
          <c:x val="2.4691358024691357E-2"/>
          <c:y val="0.32444484748597435"/>
          <c:w val="0.95286195286195285"/>
          <c:h val="0.55961308824621336"/>
        </c:manualLayout>
      </c:layout>
      <c:barChart>
        <c:barDir val="bar"/>
        <c:grouping val="stacked"/>
        <c:varyColors val="0"/>
        <c:ser>
          <c:idx val="0"/>
          <c:order val="0"/>
          <c:invertIfNegative val="0"/>
          <c:dLbls>
            <c:showLegendKey val="0"/>
            <c:showVal val="1"/>
            <c:showCatName val="0"/>
            <c:showSerName val="0"/>
            <c:showPercent val="0"/>
            <c:showBubbleSize val="0"/>
            <c:showLeaderLines val="0"/>
          </c:dLbls>
          <c:val>
            <c:numRef>
              <c:f>'2012 - Ciclo de Operação'!$B$59</c:f>
              <c:numCache>
                <c:formatCode>0</c:formatCode>
                <c:ptCount val="1"/>
                <c:pt idx="0">
                  <c:v>408</c:v>
                </c:pt>
              </c:numCache>
            </c:numRef>
          </c:val>
        </c:ser>
        <c:ser>
          <c:idx val="1"/>
          <c:order val="1"/>
          <c:invertIfNegative val="0"/>
          <c:dLbls>
            <c:dLbl>
              <c:idx val="0"/>
              <c:layout>
                <c:manualLayout>
                  <c:x val="-5.6338179824708155E-18"/>
                  <c:y val="-0.16880789063907078"/>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'2012 - Ciclo de Operação'!$I$59</c:f>
              <c:numCache>
                <c:formatCode>General</c:formatCode>
                <c:ptCount val="1"/>
                <c:pt idx="0">
                  <c:v>2</c:v>
                </c:pt>
              </c:numCache>
            </c:numRef>
          </c:val>
        </c:ser>
        <c:ser>
          <c:idx val="2"/>
          <c:order val="2"/>
          <c:invertIfNegative val="0"/>
          <c:dLbls>
            <c:showLegendKey val="0"/>
            <c:showVal val="1"/>
            <c:showCatName val="0"/>
            <c:showSerName val="0"/>
            <c:showPercent val="0"/>
            <c:showBubbleSize val="0"/>
            <c:showLeaderLines val="0"/>
          </c:dLbls>
          <c:val>
            <c:numRef>
              <c:f>'2012 - Ciclo de Operação'!$B$60</c:f>
              <c:numCache>
                <c:formatCode>0</c:formatCode>
                <c:ptCount val="1"/>
                <c:pt idx="0">
                  <c:v>2424</c:v>
                </c:pt>
              </c:numCache>
            </c:numRef>
          </c:val>
        </c:ser>
        <c:ser>
          <c:idx val="3"/>
          <c:order val="3"/>
          <c:invertIfNegative val="0"/>
          <c:dLbls>
            <c:dLbl>
              <c:idx val="0"/>
              <c:layout>
                <c:manualLayout>
                  <c:x val="0"/>
                  <c:y val="-0.16880789063907078"/>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'2012 - Ciclo de Operação'!$I$60</c:f>
              <c:numCache>
                <c:formatCode>General</c:formatCode>
                <c:ptCount val="1"/>
                <c:pt idx="0">
                  <c:v>2</c:v>
                </c:pt>
              </c:numCache>
            </c:numRef>
          </c:val>
        </c:ser>
        <c:ser>
          <c:idx val="4"/>
          <c:order val="4"/>
          <c:invertIfNegative val="0"/>
          <c:dLbls>
            <c:showLegendKey val="0"/>
            <c:showVal val="1"/>
            <c:showCatName val="0"/>
            <c:showSerName val="0"/>
            <c:showPercent val="0"/>
            <c:showBubbleSize val="0"/>
            <c:showLeaderLines val="0"/>
          </c:dLbls>
          <c:val>
            <c:numRef>
              <c:f>'2012 - Ciclo de Operação'!$B$61</c:f>
              <c:numCache>
                <c:formatCode>0</c:formatCode>
                <c:ptCount val="1"/>
                <c:pt idx="0">
                  <c:v>5808</c:v>
                </c:pt>
              </c:numCache>
            </c:numRef>
          </c:val>
        </c:ser>
        <c:dLbls>
          <c:showLegendKey val="0"/>
          <c:showVal val="0"/>
          <c:showCatName val="0"/>
          <c:showSerName val="0"/>
          <c:showPercent val="0"/>
          <c:showBubbleSize val="0"/>
        </c:dLbls>
        <c:gapWidth val="150"/>
        <c:overlap val="100"/>
        <c:axId val="114733056"/>
        <c:axId val="114734592"/>
      </c:barChart>
      <c:catAx>
        <c:axId val="114733056"/>
        <c:scaling>
          <c:orientation val="minMax"/>
        </c:scaling>
        <c:delete val="1"/>
        <c:axPos val="l"/>
        <c:majorTickMark val="out"/>
        <c:minorTickMark val="none"/>
        <c:tickLblPos val="nextTo"/>
        <c:crossAx val="114734592"/>
        <c:crosses val="autoZero"/>
        <c:auto val="1"/>
        <c:lblAlgn val="ctr"/>
        <c:lblOffset val="100"/>
        <c:noMultiLvlLbl val="0"/>
      </c:catAx>
      <c:valAx>
        <c:axId val="114734592"/>
        <c:scaling>
          <c:orientation val="minMax"/>
        </c:scaling>
        <c:delete val="1"/>
        <c:axPos val="b"/>
        <c:numFmt formatCode="0" sourceLinked="1"/>
        <c:majorTickMark val="out"/>
        <c:minorTickMark val="none"/>
        <c:tickLblPos val="nextTo"/>
        <c:crossAx val="114733056"/>
        <c:crosses val="autoZero"/>
        <c:crossBetween val="between"/>
      </c:valAx>
      <c:spPr>
        <a:noFill/>
        <a:ln w="25400">
          <a:noFill/>
        </a:ln>
      </c:spPr>
    </c:plotArea>
    <c:plotVisOnly val="1"/>
    <c:dispBlanksAs val="gap"/>
    <c:showDLblsOverMax val="0"/>
  </c:chart>
  <c:printSettings>
    <c:headerFooter/>
    <c:pageMargins b="0.75" l="0.7" r="0.7" t="0.75" header="0.3" footer="0.3"/>
    <c:pageSetup/>
  </c:printSettings>
  <c:userShapes r:id="rId1"/>
</c:chartSpace>
</file>

<file path=xl/charts/chart75.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42"/>
    </mc:Choice>
    <mc:Fallback>
      <c:style val="42"/>
    </mc:Fallback>
  </mc:AlternateContent>
  <c:chart>
    <c:title>
      <c:tx>
        <c:rich>
          <a:bodyPr/>
          <a:lstStyle/>
          <a:p>
            <a:pPr>
              <a:defRPr/>
            </a:pPr>
            <a:r>
              <a:rPr lang="en-US"/>
              <a:t>Urb. - Ribeira</a:t>
            </a:r>
          </a:p>
        </c:rich>
      </c:tx>
      <c:layout/>
      <c:overlay val="0"/>
    </c:title>
    <c:autoTitleDeleted val="0"/>
    <c:plotArea>
      <c:layout>
        <c:manualLayout>
          <c:layoutTarget val="inner"/>
          <c:xMode val="edge"/>
          <c:yMode val="edge"/>
          <c:x val="2.4691358024691357E-2"/>
          <c:y val="0.32444484748597435"/>
          <c:w val="0.95286195286195285"/>
          <c:h val="0.55961308824621336"/>
        </c:manualLayout>
      </c:layout>
      <c:barChart>
        <c:barDir val="bar"/>
        <c:grouping val="stacked"/>
        <c:varyColors val="0"/>
        <c:ser>
          <c:idx val="0"/>
          <c:order val="0"/>
          <c:invertIfNegative val="0"/>
          <c:dLbls>
            <c:showLegendKey val="0"/>
            <c:showVal val="1"/>
            <c:showCatName val="0"/>
            <c:showSerName val="0"/>
            <c:showPercent val="0"/>
            <c:showBubbleSize val="0"/>
            <c:showLeaderLines val="0"/>
          </c:dLbls>
          <c:val>
            <c:numRef>
              <c:f>'2012 - Ciclo de Operação'!$B$62</c:f>
              <c:numCache>
                <c:formatCode>0</c:formatCode>
                <c:ptCount val="1"/>
                <c:pt idx="0">
                  <c:v>4608</c:v>
                </c:pt>
              </c:numCache>
            </c:numRef>
          </c:val>
        </c:ser>
        <c:ser>
          <c:idx val="1"/>
          <c:order val="1"/>
          <c:invertIfNegative val="0"/>
          <c:dLbls>
            <c:dLbl>
              <c:idx val="0"/>
              <c:layout>
                <c:manualLayout>
                  <c:x val="0"/>
                  <c:y val="-0.18630134976794846"/>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'2012 - Ciclo de Operação'!$I$62</c:f>
              <c:numCache>
                <c:formatCode>General</c:formatCode>
                <c:ptCount val="1"/>
                <c:pt idx="0">
                  <c:v>2</c:v>
                </c:pt>
              </c:numCache>
            </c:numRef>
          </c:val>
        </c:ser>
        <c:ser>
          <c:idx val="2"/>
          <c:order val="2"/>
          <c:invertIfNegative val="0"/>
          <c:dLbls>
            <c:showLegendKey val="0"/>
            <c:showVal val="1"/>
            <c:showCatName val="0"/>
            <c:showSerName val="0"/>
            <c:showPercent val="0"/>
            <c:showBubbleSize val="0"/>
            <c:showLeaderLines val="0"/>
          </c:dLbls>
          <c:val>
            <c:numRef>
              <c:f>'2012 - Ciclo de Operação'!$B$63</c:f>
              <c:numCache>
                <c:formatCode>0</c:formatCode>
                <c:ptCount val="1"/>
                <c:pt idx="0">
                  <c:v>4032</c:v>
                </c:pt>
              </c:numCache>
            </c:numRef>
          </c:val>
        </c:ser>
        <c:dLbls>
          <c:showLegendKey val="0"/>
          <c:showVal val="0"/>
          <c:showCatName val="0"/>
          <c:showSerName val="0"/>
          <c:showPercent val="0"/>
          <c:showBubbleSize val="0"/>
        </c:dLbls>
        <c:gapWidth val="150"/>
        <c:overlap val="100"/>
        <c:axId val="114795264"/>
        <c:axId val="114796800"/>
      </c:barChart>
      <c:catAx>
        <c:axId val="114795264"/>
        <c:scaling>
          <c:orientation val="minMax"/>
        </c:scaling>
        <c:delete val="1"/>
        <c:axPos val="l"/>
        <c:majorTickMark val="out"/>
        <c:minorTickMark val="none"/>
        <c:tickLblPos val="nextTo"/>
        <c:crossAx val="114796800"/>
        <c:crosses val="autoZero"/>
        <c:auto val="1"/>
        <c:lblAlgn val="ctr"/>
        <c:lblOffset val="100"/>
        <c:noMultiLvlLbl val="0"/>
      </c:catAx>
      <c:valAx>
        <c:axId val="114796800"/>
        <c:scaling>
          <c:orientation val="minMax"/>
        </c:scaling>
        <c:delete val="1"/>
        <c:axPos val="b"/>
        <c:numFmt formatCode="0" sourceLinked="1"/>
        <c:majorTickMark val="out"/>
        <c:minorTickMark val="none"/>
        <c:tickLblPos val="nextTo"/>
        <c:crossAx val="114795264"/>
        <c:crosses val="autoZero"/>
        <c:crossBetween val="between"/>
      </c:valAx>
      <c:spPr>
        <a:noFill/>
        <a:ln w="25400">
          <a:noFill/>
        </a:ln>
      </c:spPr>
    </c:plotArea>
    <c:plotVisOnly val="1"/>
    <c:dispBlanksAs val="gap"/>
    <c:showDLblsOverMax val="0"/>
  </c:chart>
  <c:printSettings>
    <c:headerFooter/>
    <c:pageMargins b="0.75" l="0.7" r="0.7" t="0.75" header="0.3" footer="0.3"/>
    <c:pageSetup/>
  </c:printSettings>
  <c:userShapes r:id="rId1"/>
</c:chartSpace>
</file>

<file path=xl/charts/chart76.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42"/>
    </mc:Choice>
    <mc:Fallback>
      <c:style val="42"/>
    </mc:Fallback>
  </mc:AlternateContent>
  <c:chart>
    <c:title>
      <c:tx>
        <c:rich>
          <a:bodyPr/>
          <a:lstStyle/>
          <a:p>
            <a:pPr>
              <a:defRPr/>
            </a:pPr>
            <a:r>
              <a:rPr lang="en-US"/>
              <a:t>Urb. - Serra de Lagares</a:t>
            </a:r>
          </a:p>
        </c:rich>
      </c:tx>
      <c:layout/>
      <c:overlay val="0"/>
    </c:title>
    <c:autoTitleDeleted val="0"/>
    <c:plotArea>
      <c:layout>
        <c:manualLayout>
          <c:layoutTarget val="inner"/>
          <c:xMode val="edge"/>
          <c:yMode val="edge"/>
          <c:x val="2.4691358024691357E-2"/>
          <c:y val="0.32444484748597435"/>
          <c:w val="0.95286195286195285"/>
          <c:h val="0.55961308824621336"/>
        </c:manualLayout>
      </c:layout>
      <c:barChart>
        <c:barDir val="bar"/>
        <c:grouping val="stacked"/>
        <c:varyColors val="0"/>
        <c:ser>
          <c:idx val="0"/>
          <c:order val="0"/>
          <c:invertIfNegative val="0"/>
          <c:dLbls>
            <c:showLegendKey val="0"/>
            <c:showVal val="1"/>
            <c:showCatName val="0"/>
            <c:showSerName val="0"/>
            <c:showPercent val="0"/>
            <c:showBubbleSize val="0"/>
            <c:showLeaderLines val="0"/>
          </c:dLbls>
          <c:val>
            <c:numRef>
              <c:f>'2012 - Ciclo de Operação'!$B$64</c:f>
              <c:numCache>
                <c:formatCode>0</c:formatCode>
                <c:ptCount val="1"/>
                <c:pt idx="0">
                  <c:v>4704</c:v>
                </c:pt>
              </c:numCache>
            </c:numRef>
          </c:val>
        </c:ser>
        <c:ser>
          <c:idx val="1"/>
          <c:order val="1"/>
          <c:invertIfNegative val="0"/>
          <c:dLbls>
            <c:dLbl>
              <c:idx val="0"/>
              <c:layout>
                <c:manualLayout>
                  <c:x val="2.441474304444156E-3"/>
                  <c:y val="-0.16880789063907078"/>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'2012 - Ciclo de Operação'!$I$64</c:f>
              <c:numCache>
                <c:formatCode>General</c:formatCode>
                <c:ptCount val="1"/>
                <c:pt idx="0">
                  <c:v>1</c:v>
                </c:pt>
              </c:numCache>
            </c:numRef>
          </c:val>
        </c:ser>
        <c:ser>
          <c:idx val="2"/>
          <c:order val="2"/>
          <c:invertIfNegative val="0"/>
          <c:dLbls>
            <c:showLegendKey val="0"/>
            <c:showVal val="1"/>
            <c:showCatName val="0"/>
            <c:showSerName val="0"/>
            <c:showPercent val="0"/>
            <c:showBubbleSize val="0"/>
            <c:showLeaderLines val="0"/>
          </c:dLbls>
          <c:val>
            <c:numRef>
              <c:f>'2012 - Ciclo de Operação'!$B$65</c:f>
              <c:numCache>
                <c:formatCode>0</c:formatCode>
                <c:ptCount val="1"/>
                <c:pt idx="0">
                  <c:v>2400</c:v>
                </c:pt>
              </c:numCache>
            </c:numRef>
          </c:val>
        </c:ser>
        <c:ser>
          <c:idx val="3"/>
          <c:order val="3"/>
          <c:invertIfNegative val="0"/>
          <c:dLbls>
            <c:dLbl>
              <c:idx val="0"/>
              <c:layout>
                <c:manualLayout>
                  <c:x val="-8.9519690357183699E-17"/>
                  <c:y val="-0.16036749610711726"/>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'2012 - Ciclo de Operação'!$I$65</c:f>
              <c:numCache>
                <c:formatCode>General</c:formatCode>
                <c:ptCount val="1"/>
                <c:pt idx="0">
                  <c:v>6</c:v>
                </c:pt>
              </c:numCache>
            </c:numRef>
          </c:val>
        </c:ser>
        <c:ser>
          <c:idx val="4"/>
          <c:order val="4"/>
          <c:invertIfNegative val="0"/>
          <c:dLbls>
            <c:showLegendKey val="0"/>
            <c:showVal val="1"/>
            <c:showCatName val="0"/>
            <c:showSerName val="0"/>
            <c:showPercent val="0"/>
            <c:showBubbleSize val="0"/>
            <c:showLeaderLines val="0"/>
          </c:dLbls>
          <c:val>
            <c:numRef>
              <c:f>'2012 - Ciclo de Operação'!$B$66</c:f>
              <c:numCache>
                <c:formatCode>0</c:formatCode>
                <c:ptCount val="1"/>
                <c:pt idx="0">
                  <c:v>1536</c:v>
                </c:pt>
              </c:numCache>
            </c:numRef>
          </c:val>
        </c:ser>
        <c:dLbls>
          <c:showLegendKey val="0"/>
          <c:showVal val="0"/>
          <c:showCatName val="0"/>
          <c:showSerName val="0"/>
          <c:showPercent val="0"/>
          <c:showBubbleSize val="0"/>
        </c:dLbls>
        <c:gapWidth val="150"/>
        <c:overlap val="100"/>
        <c:axId val="115175424"/>
        <c:axId val="115176960"/>
      </c:barChart>
      <c:catAx>
        <c:axId val="115175424"/>
        <c:scaling>
          <c:orientation val="minMax"/>
        </c:scaling>
        <c:delete val="1"/>
        <c:axPos val="l"/>
        <c:majorTickMark val="out"/>
        <c:minorTickMark val="none"/>
        <c:tickLblPos val="nextTo"/>
        <c:crossAx val="115176960"/>
        <c:crosses val="autoZero"/>
        <c:auto val="1"/>
        <c:lblAlgn val="ctr"/>
        <c:lblOffset val="100"/>
        <c:noMultiLvlLbl val="0"/>
      </c:catAx>
      <c:valAx>
        <c:axId val="115176960"/>
        <c:scaling>
          <c:orientation val="minMax"/>
        </c:scaling>
        <c:delete val="1"/>
        <c:axPos val="b"/>
        <c:numFmt formatCode="0" sourceLinked="1"/>
        <c:majorTickMark val="out"/>
        <c:minorTickMark val="none"/>
        <c:tickLblPos val="nextTo"/>
        <c:crossAx val="115175424"/>
        <c:crosses val="autoZero"/>
        <c:crossBetween val="between"/>
      </c:valAx>
      <c:spPr>
        <a:noFill/>
        <a:ln w="25400">
          <a:noFill/>
        </a:ln>
      </c:spPr>
    </c:plotArea>
    <c:plotVisOnly val="1"/>
    <c:dispBlanksAs val="gap"/>
    <c:showDLblsOverMax val="0"/>
  </c:chart>
  <c:printSettings>
    <c:headerFooter/>
    <c:pageMargins b="0.75" l="0.7" r="0.7" t="0.75" header="0.3" footer="0.3"/>
    <c:pageSetup/>
  </c:printSettings>
  <c:userShapes r:id="rId1"/>
</c:chartSpace>
</file>

<file path=xl/charts/chart77.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42"/>
    </mc:Choice>
    <mc:Fallback>
      <c:style val="42"/>
    </mc:Fallback>
  </mc:AlternateContent>
  <c:chart>
    <c:title>
      <c:tx>
        <c:rich>
          <a:bodyPr/>
          <a:lstStyle/>
          <a:p>
            <a:pPr>
              <a:defRPr/>
            </a:pPr>
            <a:r>
              <a:rPr lang="en-US"/>
              <a:t>Urb. - Estacionamento auto</a:t>
            </a:r>
          </a:p>
        </c:rich>
      </c:tx>
      <c:layout/>
      <c:overlay val="0"/>
    </c:title>
    <c:autoTitleDeleted val="0"/>
    <c:plotArea>
      <c:layout>
        <c:manualLayout>
          <c:layoutTarget val="inner"/>
          <c:xMode val="edge"/>
          <c:yMode val="edge"/>
          <c:x val="2.4691358024691357E-2"/>
          <c:y val="0.32444484748597435"/>
          <c:w val="0.95286195286195285"/>
          <c:h val="0.55961308824621336"/>
        </c:manualLayout>
      </c:layout>
      <c:barChart>
        <c:barDir val="bar"/>
        <c:grouping val="stacked"/>
        <c:varyColors val="0"/>
        <c:ser>
          <c:idx val="0"/>
          <c:order val="0"/>
          <c:invertIfNegative val="0"/>
          <c:dLbls>
            <c:showLegendKey val="0"/>
            <c:showVal val="1"/>
            <c:showCatName val="0"/>
            <c:showSerName val="0"/>
            <c:showPercent val="0"/>
            <c:showBubbleSize val="0"/>
            <c:showLeaderLines val="0"/>
          </c:dLbls>
          <c:val>
            <c:numRef>
              <c:f>'2012 - Ciclo de Operação'!$B$67</c:f>
              <c:numCache>
                <c:formatCode>0</c:formatCode>
                <c:ptCount val="1"/>
                <c:pt idx="0">
                  <c:v>648</c:v>
                </c:pt>
              </c:numCache>
            </c:numRef>
          </c:val>
        </c:ser>
        <c:ser>
          <c:idx val="1"/>
          <c:order val="1"/>
          <c:invertIfNegative val="0"/>
          <c:dLbls>
            <c:dLbl>
              <c:idx val="0"/>
              <c:layout>
                <c:manualLayout>
                  <c:x val="5.5949806473239812E-18"/>
                  <c:y val="-0.16036749610711726"/>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'2012 - Ciclo de Operação'!$I$67</c:f>
              <c:numCache>
                <c:formatCode>General</c:formatCode>
                <c:ptCount val="1"/>
                <c:pt idx="0">
                  <c:v>4</c:v>
                </c:pt>
              </c:numCache>
            </c:numRef>
          </c:val>
        </c:ser>
        <c:ser>
          <c:idx val="2"/>
          <c:order val="2"/>
          <c:invertIfNegative val="0"/>
          <c:dLbls>
            <c:showLegendKey val="0"/>
            <c:showVal val="1"/>
            <c:showCatName val="0"/>
            <c:showSerName val="0"/>
            <c:showPercent val="0"/>
            <c:showBubbleSize val="0"/>
            <c:showLeaderLines val="0"/>
          </c:dLbls>
          <c:val>
            <c:numRef>
              <c:f>'2012 - Ciclo de Operação'!$B$68</c:f>
              <c:numCache>
                <c:formatCode>0</c:formatCode>
                <c:ptCount val="1"/>
                <c:pt idx="0">
                  <c:v>3912</c:v>
                </c:pt>
              </c:numCache>
            </c:numRef>
          </c:val>
        </c:ser>
        <c:ser>
          <c:idx val="3"/>
          <c:order val="3"/>
          <c:invertIfNegative val="0"/>
          <c:dLbls>
            <c:dLbl>
              <c:idx val="0"/>
              <c:layout>
                <c:manualLayout>
                  <c:x val="4.475984517859185E-17"/>
                  <c:y val="-0.16036749610711726"/>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'2012 - Ciclo de Operação'!$I$68</c:f>
              <c:numCache>
                <c:formatCode>General</c:formatCode>
                <c:ptCount val="1"/>
                <c:pt idx="0">
                  <c:v>2</c:v>
                </c:pt>
              </c:numCache>
            </c:numRef>
          </c:val>
        </c:ser>
        <c:ser>
          <c:idx val="4"/>
          <c:order val="4"/>
          <c:invertIfNegative val="0"/>
          <c:dLbls>
            <c:showLegendKey val="0"/>
            <c:showVal val="1"/>
            <c:showCatName val="0"/>
            <c:showSerName val="0"/>
            <c:showPercent val="0"/>
            <c:showBubbleSize val="0"/>
            <c:showLeaderLines val="0"/>
          </c:dLbls>
          <c:val>
            <c:numRef>
              <c:f>'2012 - Ciclo de Operação'!$B$69</c:f>
              <c:numCache>
                <c:formatCode>0</c:formatCode>
                <c:ptCount val="1"/>
                <c:pt idx="0">
                  <c:v>1608</c:v>
                </c:pt>
              </c:numCache>
            </c:numRef>
          </c:val>
        </c:ser>
        <c:ser>
          <c:idx val="5"/>
          <c:order val="5"/>
          <c:invertIfNegative val="0"/>
          <c:dLbls>
            <c:dLbl>
              <c:idx val="0"/>
              <c:layout>
                <c:manualLayout>
                  <c:x val="0"/>
                  <c:y val="-0.16036749610711726"/>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'2012 - Ciclo de Operação'!$I$69</c:f>
              <c:numCache>
                <c:formatCode>General</c:formatCode>
                <c:ptCount val="1"/>
                <c:pt idx="0">
                  <c:v>1</c:v>
                </c:pt>
              </c:numCache>
            </c:numRef>
          </c:val>
        </c:ser>
        <c:ser>
          <c:idx val="6"/>
          <c:order val="6"/>
          <c:invertIfNegative val="0"/>
          <c:dLbls>
            <c:showLegendKey val="0"/>
            <c:showVal val="1"/>
            <c:showCatName val="0"/>
            <c:showSerName val="0"/>
            <c:showPercent val="0"/>
            <c:showBubbleSize val="0"/>
            <c:showLeaderLines val="0"/>
          </c:dLbls>
          <c:val>
            <c:numRef>
              <c:f>'2012 - Ciclo de Operação'!$B$70</c:f>
              <c:numCache>
                <c:formatCode>0</c:formatCode>
                <c:ptCount val="1"/>
                <c:pt idx="0">
                  <c:v>2472</c:v>
                </c:pt>
              </c:numCache>
            </c:numRef>
          </c:val>
        </c:ser>
        <c:dLbls>
          <c:showLegendKey val="0"/>
          <c:showVal val="0"/>
          <c:showCatName val="0"/>
          <c:showSerName val="0"/>
          <c:showPercent val="0"/>
          <c:showBubbleSize val="0"/>
        </c:dLbls>
        <c:gapWidth val="150"/>
        <c:overlap val="100"/>
        <c:axId val="114988544"/>
        <c:axId val="114990080"/>
      </c:barChart>
      <c:catAx>
        <c:axId val="114988544"/>
        <c:scaling>
          <c:orientation val="minMax"/>
        </c:scaling>
        <c:delete val="1"/>
        <c:axPos val="l"/>
        <c:majorTickMark val="out"/>
        <c:minorTickMark val="none"/>
        <c:tickLblPos val="nextTo"/>
        <c:crossAx val="114990080"/>
        <c:crosses val="autoZero"/>
        <c:auto val="1"/>
        <c:lblAlgn val="ctr"/>
        <c:lblOffset val="100"/>
        <c:noMultiLvlLbl val="0"/>
      </c:catAx>
      <c:valAx>
        <c:axId val="114990080"/>
        <c:scaling>
          <c:orientation val="minMax"/>
        </c:scaling>
        <c:delete val="1"/>
        <c:axPos val="b"/>
        <c:numFmt formatCode="0" sourceLinked="1"/>
        <c:majorTickMark val="out"/>
        <c:minorTickMark val="none"/>
        <c:tickLblPos val="nextTo"/>
        <c:crossAx val="114988544"/>
        <c:crosses val="autoZero"/>
        <c:crossBetween val="between"/>
      </c:valAx>
      <c:spPr>
        <a:noFill/>
        <a:ln w="25400">
          <a:noFill/>
        </a:ln>
      </c:spPr>
    </c:plotArea>
    <c:plotVisOnly val="1"/>
    <c:dispBlanksAs val="gap"/>
    <c:showDLblsOverMax val="0"/>
  </c:chart>
  <c:printSettings>
    <c:headerFooter/>
    <c:pageMargins b="0.75" l="0.7" r="0.7" t="0.75" header="0.3" footer="0.3"/>
    <c:pageSetup/>
  </c:printSettings>
  <c:userShapes r:id="rId1"/>
</c:chartSpace>
</file>

<file path=xl/charts/chart78.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Total de avarias por dia - 2011</c:v>
          </c:tx>
          <c:invertIfNegative val="0"/>
          <c:dLbls>
            <c:numFmt formatCode="#,##0;\-#,##0" sourceLinked="0"/>
            <c:txPr>
              <a:bodyPr/>
              <a:lstStyle/>
              <a:p>
                <a:pPr>
                  <a:defRPr b="1"/>
                </a:pPr>
                <a:endParaRPr lang="pt-PT"/>
              </a:p>
            </c:txPr>
            <c:showLegendKey val="0"/>
            <c:showVal val="1"/>
            <c:showCatName val="0"/>
            <c:showSerName val="0"/>
            <c:showPercent val="0"/>
            <c:showBubbleSize val="0"/>
            <c:showLeaderLines val="0"/>
          </c:dLbls>
          <c:cat>
            <c:numRef>
              <c:f>'2011 - Gráficos'!$B$6:$B$23</c:f>
              <c:numCache>
                <c:formatCode>General</c:formatCode>
                <c:ptCount val="18"/>
                <c:pt idx="0">
                  <c:v>18</c:v>
                </c:pt>
                <c:pt idx="1">
                  <c:v>20</c:v>
                </c:pt>
                <c:pt idx="2">
                  <c:v>21</c:v>
                </c:pt>
                <c:pt idx="3">
                  <c:v>40</c:v>
                </c:pt>
                <c:pt idx="4">
                  <c:v>41</c:v>
                </c:pt>
                <c:pt idx="5">
                  <c:v>42</c:v>
                </c:pt>
                <c:pt idx="6">
                  <c:v>44</c:v>
                </c:pt>
                <c:pt idx="7">
                  <c:v>45</c:v>
                </c:pt>
                <c:pt idx="8">
                  <c:v>52</c:v>
                </c:pt>
                <c:pt idx="9">
                  <c:v>55</c:v>
                </c:pt>
                <c:pt idx="10">
                  <c:v>61</c:v>
                </c:pt>
                <c:pt idx="11">
                  <c:v>74</c:v>
                </c:pt>
                <c:pt idx="12">
                  <c:v>76</c:v>
                </c:pt>
                <c:pt idx="13">
                  <c:v>78</c:v>
                </c:pt>
                <c:pt idx="14">
                  <c:v>101</c:v>
                </c:pt>
                <c:pt idx="15">
                  <c:v>112</c:v>
                </c:pt>
                <c:pt idx="16">
                  <c:v>137</c:v>
                </c:pt>
                <c:pt idx="17">
                  <c:v>144</c:v>
                </c:pt>
              </c:numCache>
            </c:numRef>
          </c:cat>
          <c:val>
            <c:numRef>
              <c:f>'2011 - Gráficos'!$C$6:$C$23</c:f>
              <c:numCache>
                <c:formatCode>0</c:formatCode>
                <c:ptCount val="18"/>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3</c:v>
                </c:pt>
                <c:pt idx="17">
                  <c:v>1</c:v>
                </c:pt>
              </c:numCache>
            </c:numRef>
          </c:val>
        </c:ser>
        <c:dLbls>
          <c:showLegendKey val="0"/>
          <c:showVal val="0"/>
          <c:showCatName val="0"/>
          <c:showSerName val="0"/>
          <c:showPercent val="0"/>
          <c:showBubbleSize val="0"/>
        </c:dLbls>
        <c:gapWidth val="300"/>
        <c:axId val="113088768"/>
        <c:axId val="113107328"/>
      </c:barChart>
      <c:catAx>
        <c:axId val="113088768"/>
        <c:scaling>
          <c:orientation val="minMax"/>
        </c:scaling>
        <c:delete val="0"/>
        <c:axPos val="b"/>
        <c:title>
          <c:tx>
            <c:rich>
              <a:bodyPr/>
              <a:lstStyle/>
              <a:p>
                <a:pPr>
                  <a:defRPr/>
                </a:pPr>
                <a:r>
                  <a:rPr lang="pt-PT"/>
                  <a:t>Numero</a:t>
                </a:r>
                <a:r>
                  <a:rPr lang="pt-PT" baseline="0"/>
                  <a:t> de dias/ano</a:t>
                </a:r>
                <a:endParaRPr lang="pt-PT"/>
              </a:p>
            </c:rich>
          </c:tx>
          <c:layout/>
          <c:overlay val="0"/>
        </c:title>
        <c:numFmt formatCode="General" sourceLinked="1"/>
        <c:majorTickMark val="none"/>
        <c:minorTickMark val="none"/>
        <c:tickLblPos val="nextTo"/>
        <c:txPr>
          <a:bodyPr rot="-5400000" vert="horz"/>
          <a:lstStyle/>
          <a:p>
            <a:pPr>
              <a:defRPr/>
            </a:pPr>
            <a:endParaRPr lang="pt-PT"/>
          </a:p>
        </c:txPr>
        <c:crossAx val="113107328"/>
        <c:crosses val="autoZero"/>
        <c:auto val="1"/>
        <c:lblAlgn val="ctr"/>
        <c:lblOffset val="100"/>
        <c:noMultiLvlLbl val="0"/>
      </c:catAx>
      <c:valAx>
        <c:axId val="113107328"/>
        <c:scaling>
          <c:orientation val="minMax"/>
        </c:scaling>
        <c:delete val="0"/>
        <c:axPos val="l"/>
        <c:majorGridlines/>
        <c:minorGridlines/>
        <c:title>
          <c:tx>
            <c:rich>
              <a:bodyPr/>
              <a:lstStyle/>
              <a:p>
                <a:pPr>
                  <a:defRPr/>
                </a:pPr>
                <a:r>
                  <a:rPr lang="pt-PT"/>
                  <a:t>Total</a:t>
                </a:r>
                <a:r>
                  <a:rPr lang="pt-PT" baseline="0"/>
                  <a:t> de avarias</a:t>
                </a:r>
                <a:endParaRPr lang="pt-PT"/>
              </a:p>
            </c:rich>
          </c:tx>
          <c:layout/>
          <c:overlay val="0"/>
        </c:title>
        <c:numFmt formatCode="0" sourceLinked="1"/>
        <c:majorTickMark val="out"/>
        <c:minorTickMark val="none"/>
        <c:tickLblPos val="nextTo"/>
        <c:crossAx val="113088768"/>
        <c:crosses val="autoZero"/>
        <c:crossBetween val="between"/>
      </c:valAx>
    </c:plotArea>
    <c:legend>
      <c:legendPos val="r"/>
      <c:layout/>
      <c:overlay val="0"/>
    </c:legend>
    <c:plotVisOnly val="1"/>
    <c:dispBlanksAs val="gap"/>
    <c:showDLblsOverMax val="0"/>
  </c:chart>
  <c:printSettings>
    <c:headerFooter/>
    <c:pageMargins b="0.75" l="0.7" r="0.7" t="0.75" header="0.3" footer="0.3"/>
    <c:pageSetup/>
  </c:printSettings>
</c:chartSpace>
</file>

<file path=xl/charts/chart79.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Total de avarias Pasta de papel</c:v>
          </c:tx>
          <c:invertIfNegative val="0"/>
          <c:dLbls>
            <c:numFmt formatCode="#,##0;\-#,##0" sourceLinked="0"/>
            <c:txPr>
              <a:bodyPr/>
              <a:lstStyle/>
              <a:p>
                <a:pPr>
                  <a:defRPr b="1"/>
                </a:pPr>
                <a:endParaRPr lang="pt-PT"/>
              </a:p>
            </c:txPr>
            <c:showLegendKey val="0"/>
            <c:showVal val="1"/>
            <c:showCatName val="0"/>
            <c:showSerName val="0"/>
            <c:showPercent val="0"/>
            <c:showBubbleSize val="0"/>
            <c:showLeaderLines val="0"/>
          </c:dLbls>
          <c:cat>
            <c:numRef>
              <c:f>'2011 - Gráficos'!$F$6:$F$7</c:f>
              <c:numCache>
                <c:formatCode>General</c:formatCode>
                <c:ptCount val="2"/>
                <c:pt idx="0">
                  <c:v>40</c:v>
                </c:pt>
                <c:pt idx="1">
                  <c:v>254</c:v>
                </c:pt>
              </c:numCache>
            </c:numRef>
          </c:cat>
          <c:val>
            <c:numRef>
              <c:f>'2011 - Gráficos'!$G$6:$G$7</c:f>
              <c:numCache>
                <c:formatCode>0</c:formatCode>
                <c:ptCount val="2"/>
                <c:pt idx="0">
                  <c:v>1</c:v>
                </c:pt>
                <c:pt idx="1">
                  <c:v>1</c:v>
                </c:pt>
              </c:numCache>
            </c:numRef>
          </c:val>
        </c:ser>
        <c:dLbls>
          <c:showLegendKey val="0"/>
          <c:showVal val="0"/>
          <c:showCatName val="0"/>
          <c:showSerName val="0"/>
          <c:showPercent val="0"/>
          <c:showBubbleSize val="0"/>
        </c:dLbls>
        <c:gapWidth val="300"/>
        <c:axId val="110736512"/>
        <c:axId val="110738048"/>
      </c:barChart>
      <c:catAx>
        <c:axId val="110736512"/>
        <c:scaling>
          <c:orientation val="minMax"/>
        </c:scaling>
        <c:delete val="0"/>
        <c:axPos val="b"/>
        <c:numFmt formatCode="General" sourceLinked="1"/>
        <c:majorTickMark val="none"/>
        <c:minorTickMark val="none"/>
        <c:tickLblPos val="nextTo"/>
        <c:crossAx val="110738048"/>
        <c:crosses val="autoZero"/>
        <c:auto val="1"/>
        <c:lblAlgn val="ctr"/>
        <c:lblOffset val="100"/>
        <c:noMultiLvlLbl val="0"/>
      </c:catAx>
      <c:valAx>
        <c:axId val="110738048"/>
        <c:scaling>
          <c:orientation val="minMax"/>
        </c:scaling>
        <c:delete val="0"/>
        <c:axPos val="l"/>
        <c:majorGridlines/>
        <c:minorGridlines/>
        <c:numFmt formatCode="0" sourceLinked="1"/>
        <c:majorTickMark val="out"/>
        <c:minorTickMark val="none"/>
        <c:tickLblPos val="nextTo"/>
        <c:crossAx val="110736512"/>
        <c:crosses val="autoZero"/>
        <c:crossBetween val="between"/>
      </c:valAx>
    </c:plotArea>
    <c:legend>
      <c:legendPos val="r"/>
      <c:layout/>
      <c:overlay val="0"/>
    </c:legend>
    <c:plotVisOnly val="1"/>
    <c:dispBlanksAs val="gap"/>
    <c:showDLblsOverMax val="0"/>
  </c:chart>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42"/>
    </mc:Choice>
    <mc:Fallback>
      <c:style val="42"/>
    </mc:Fallback>
  </mc:AlternateContent>
  <c:chart>
    <c:title>
      <c:tx>
        <c:rich>
          <a:bodyPr/>
          <a:lstStyle/>
          <a:p>
            <a:pPr>
              <a:defRPr/>
            </a:pPr>
            <a:r>
              <a:rPr lang="en-US"/>
              <a:t>Incinerador 2 - Secador</a:t>
            </a:r>
          </a:p>
        </c:rich>
      </c:tx>
      <c:layout/>
      <c:overlay val="0"/>
    </c:title>
    <c:autoTitleDeleted val="0"/>
    <c:plotArea>
      <c:layout>
        <c:manualLayout>
          <c:layoutTarget val="inner"/>
          <c:xMode val="edge"/>
          <c:yMode val="edge"/>
          <c:x val="2.4691358024691357E-2"/>
          <c:y val="0.32444484748597435"/>
          <c:w val="0.89632490285004129"/>
          <c:h val="0.55961308824621336"/>
        </c:manualLayout>
      </c:layout>
      <c:barChart>
        <c:barDir val="bar"/>
        <c:grouping val="stacked"/>
        <c:varyColors val="0"/>
        <c:ser>
          <c:idx val="0"/>
          <c:order val="0"/>
          <c:invertIfNegative val="0"/>
          <c:dLbls>
            <c:showLegendKey val="0"/>
            <c:showVal val="1"/>
            <c:showCatName val="0"/>
            <c:showSerName val="0"/>
            <c:showPercent val="0"/>
            <c:showBubbleSize val="0"/>
            <c:showLeaderLines val="0"/>
          </c:dLbls>
          <c:val>
            <c:numRef>
              <c:f>'2015 - Ciclo de Operação'!$B$11</c:f>
              <c:numCache>
                <c:formatCode>General</c:formatCode>
                <c:ptCount val="1"/>
                <c:pt idx="0">
                  <c:v>4656</c:v>
                </c:pt>
              </c:numCache>
            </c:numRef>
          </c:val>
        </c:ser>
        <c:ser>
          <c:idx val="1"/>
          <c:order val="1"/>
          <c:invertIfNegative val="0"/>
          <c:dLbls>
            <c:dLbl>
              <c:idx val="0"/>
              <c:layout>
                <c:manualLayout>
                  <c:x val="0"/>
                  <c:y val="-0.16029146963297039"/>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'2015 - Ciclo de Operação'!$I$11</c:f>
              <c:numCache>
                <c:formatCode>General</c:formatCode>
                <c:ptCount val="1"/>
                <c:pt idx="0">
                  <c:v>8</c:v>
                </c:pt>
              </c:numCache>
            </c:numRef>
          </c:val>
        </c:ser>
        <c:ser>
          <c:idx val="2"/>
          <c:order val="2"/>
          <c:invertIfNegative val="0"/>
          <c:dLbls>
            <c:showLegendKey val="0"/>
            <c:showVal val="1"/>
            <c:showCatName val="0"/>
            <c:showSerName val="0"/>
            <c:showPercent val="0"/>
            <c:showBubbleSize val="0"/>
            <c:showLeaderLines val="0"/>
          </c:dLbls>
          <c:val>
            <c:numRef>
              <c:f>'2015 - Ciclo de Operação'!$B$12</c:f>
              <c:numCache>
                <c:formatCode>General</c:formatCode>
                <c:ptCount val="1"/>
                <c:pt idx="0">
                  <c:v>3984</c:v>
                </c:pt>
              </c:numCache>
            </c:numRef>
          </c:val>
        </c:ser>
        <c:dLbls>
          <c:showLegendKey val="0"/>
          <c:showVal val="0"/>
          <c:showCatName val="0"/>
          <c:showSerName val="0"/>
          <c:showPercent val="0"/>
          <c:showBubbleSize val="0"/>
        </c:dLbls>
        <c:gapWidth val="150"/>
        <c:overlap val="100"/>
        <c:axId val="106264832"/>
        <c:axId val="106270720"/>
      </c:barChart>
      <c:catAx>
        <c:axId val="106264832"/>
        <c:scaling>
          <c:orientation val="minMax"/>
        </c:scaling>
        <c:delete val="1"/>
        <c:axPos val="l"/>
        <c:majorTickMark val="out"/>
        <c:minorTickMark val="none"/>
        <c:tickLblPos val="nextTo"/>
        <c:crossAx val="106270720"/>
        <c:crosses val="autoZero"/>
        <c:auto val="1"/>
        <c:lblAlgn val="ctr"/>
        <c:lblOffset val="100"/>
        <c:noMultiLvlLbl val="0"/>
      </c:catAx>
      <c:valAx>
        <c:axId val="106270720"/>
        <c:scaling>
          <c:orientation val="minMax"/>
        </c:scaling>
        <c:delete val="1"/>
        <c:axPos val="b"/>
        <c:numFmt formatCode="General" sourceLinked="1"/>
        <c:majorTickMark val="out"/>
        <c:minorTickMark val="none"/>
        <c:tickLblPos val="nextTo"/>
        <c:crossAx val="106264832"/>
        <c:crosses val="autoZero"/>
        <c:crossBetween val="between"/>
      </c:valAx>
      <c:spPr>
        <a:noFill/>
        <a:ln w="25400">
          <a:noFill/>
        </a:ln>
      </c:spPr>
    </c:plotArea>
    <c:plotVisOnly val="1"/>
    <c:dispBlanksAs val="gap"/>
    <c:showDLblsOverMax val="0"/>
  </c:chart>
  <c:printSettings>
    <c:headerFooter/>
    <c:pageMargins b="0.75" l="0.7" r="0.7" t="0.75" header="0.3" footer="0.3"/>
    <c:pageSetup/>
  </c:printSettings>
  <c:userShapes r:id="rId1"/>
</c:chartSpace>
</file>

<file path=xl/charts/chart80.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Total de avarias Incinerador 2</c:v>
          </c:tx>
          <c:invertIfNegative val="0"/>
          <c:dLbls>
            <c:numFmt formatCode="#,##0;\-#,##0" sourceLinked="0"/>
            <c:txPr>
              <a:bodyPr/>
              <a:lstStyle/>
              <a:p>
                <a:pPr>
                  <a:defRPr b="1"/>
                </a:pPr>
                <a:endParaRPr lang="pt-PT"/>
              </a:p>
            </c:txPr>
            <c:showLegendKey val="0"/>
            <c:showVal val="1"/>
            <c:showCatName val="0"/>
            <c:showSerName val="0"/>
            <c:showPercent val="0"/>
            <c:showBubbleSize val="0"/>
            <c:showLeaderLines val="0"/>
          </c:dLbls>
          <c:cat>
            <c:numRef>
              <c:f>'2011 - Gráficos'!$F$11:$F$18</c:f>
              <c:numCache>
                <c:formatCode>General</c:formatCode>
                <c:ptCount val="8"/>
                <c:pt idx="0">
                  <c:v>41</c:v>
                </c:pt>
                <c:pt idx="1">
                  <c:v>42</c:v>
                </c:pt>
                <c:pt idx="2">
                  <c:v>44</c:v>
                </c:pt>
                <c:pt idx="3">
                  <c:v>45</c:v>
                </c:pt>
                <c:pt idx="4">
                  <c:v>101</c:v>
                </c:pt>
                <c:pt idx="5">
                  <c:v>137</c:v>
                </c:pt>
                <c:pt idx="6">
                  <c:v>144</c:v>
                </c:pt>
                <c:pt idx="7">
                  <c:v>216</c:v>
                </c:pt>
              </c:numCache>
            </c:numRef>
          </c:cat>
          <c:val>
            <c:numRef>
              <c:f>'2011 - Gráficos'!$G$11:$G$18</c:f>
              <c:numCache>
                <c:formatCode>0</c:formatCode>
                <c:ptCount val="8"/>
                <c:pt idx="0">
                  <c:v>1</c:v>
                </c:pt>
                <c:pt idx="1">
                  <c:v>1</c:v>
                </c:pt>
                <c:pt idx="2">
                  <c:v>1</c:v>
                </c:pt>
                <c:pt idx="3">
                  <c:v>1</c:v>
                </c:pt>
                <c:pt idx="4">
                  <c:v>1</c:v>
                </c:pt>
                <c:pt idx="5">
                  <c:v>2</c:v>
                </c:pt>
                <c:pt idx="6">
                  <c:v>1</c:v>
                </c:pt>
                <c:pt idx="7">
                  <c:v>1</c:v>
                </c:pt>
              </c:numCache>
            </c:numRef>
          </c:val>
        </c:ser>
        <c:dLbls>
          <c:showLegendKey val="0"/>
          <c:showVal val="0"/>
          <c:showCatName val="0"/>
          <c:showSerName val="0"/>
          <c:showPercent val="0"/>
          <c:showBubbleSize val="0"/>
        </c:dLbls>
        <c:gapWidth val="300"/>
        <c:axId val="110746240"/>
        <c:axId val="115052928"/>
      </c:barChart>
      <c:catAx>
        <c:axId val="110746240"/>
        <c:scaling>
          <c:orientation val="minMax"/>
        </c:scaling>
        <c:delete val="0"/>
        <c:axPos val="b"/>
        <c:numFmt formatCode="General" sourceLinked="1"/>
        <c:majorTickMark val="none"/>
        <c:minorTickMark val="none"/>
        <c:tickLblPos val="nextTo"/>
        <c:crossAx val="115052928"/>
        <c:crosses val="autoZero"/>
        <c:auto val="1"/>
        <c:lblAlgn val="ctr"/>
        <c:lblOffset val="100"/>
        <c:noMultiLvlLbl val="0"/>
      </c:catAx>
      <c:valAx>
        <c:axId val="115052928"/>
        <c:scaling>
          <c:orientation val="minMax"/>
        </c:scaling>
        <c:delete val="0"/>
        <c:axPos val="l"/>
        <c:majorGridlines/>
        <c:minorGridlines/>
        <c:numFmt formatCode="0" sourceLinked="1"/>
        <c:majorTickMark val="out"/>
        <c:minorTickMark val="none"/>
        <c:tickLblPos val="nextTo"/>
        <c:crossAx val="110746240"/>
        <c:crosses val="autoZero"/>
        <c:crossBetween val="between"/>
      </c:valAx>
    </c:plotArea>
    <c:legend>
      <c:legendPos val="r"/>
      <c:layout/>
      <c:overlay val="0"/>
    </c:legend>
    <c:plotVisOnly val="1"/>
    <c:dispBlanksAs val="gap"/>
    <c:showDLblsOverMax val="0"/>
  </c:chart>
  <c:printSettings>
    <c:headerFooter/>
    <c:pageMargins b="0.75" l="0.7" r="0.7" t="0.75" header="0.3" footer="0.3"/>
    <c:pageSetup/>
  </c:printSettings>
</c:chartSpace>
</file>

<file path=xl/charts/chart81.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Total de avarias Incinerador 3</c:v>
          </c:tx>
          <c:invertIfNegative val="0"/>
          <c:dLbls>
            <c:numFmt formatCode="#,##0;\-#,##0" sourceLinked="0"/>
            <c:txPr>
              <a:bodyPr/>
              <a:lstStyle/>
              <a:p>
                <a:pPr>
                  <a:defRPr b="1"/>
                </a:pPr>
                <a:endParaRPr lang="pt-PT"/>
              </a:p>
            </c:txPr>
            <c:showLegendKey val="0"/>
            <c:showVal val="1"/>
            <c:showCatName val="0"/>
            <c:showSerName val="0"/>
            <c:showPercent val="0"/>
            <c:showBubbleSize val="0"/>
            <c:showLeaderLines val="0"/>
          </c:dLbls>
          <c:cat>
            <c:numRef>
              <c:f>'2011 - Gráficos'!$F$19:$F$32</c:f>
              <c:numCache>
                <c:formatCode>General</c:formatCode>
                <c:ptCount val="14"/>
                <c:pt idx="0">
                  <c:v>20</c:v>
                </c:pt>
                <c:pt idx="1">
                  <c:v>21</c:v>
                </c:pt>
                <c:pt idx="2">
                  <c:v>55</c:v>
                </c:pt>
                <c:pt idx="3">
                  <c:v>61</c:v>
                </c:pt>
                <c:pt idx="4">
                  <c:v>74</c:v>
                </c:pt>
                <c:pt idx="5">
                  <c:v>76</c:v>
                </c:pt>
                <c:pt idx="6">
                  <c:v>78</c:v>
                </c:pt>
                <c:pt idx="7">
                  <c:v>173</c:v>
                </c:pt>
                <c:pt idx="8">
                  <c:v>211</c:v>
                </c:pt>
                <c:pt idx="9">
                  <c:v>233</c:v>
                </c:pt>
                <c:pt idx="10">
                  <c:v>295</c:v>
                </c:pt>
                <c:pt idx="11">
                  <c:v>296</c:v>
                </c:pt>
                <c:pt idx="12">
                  <c:v>297</c:v>
                </c:pt>
                <c:pt idx="13">
                  <c:v>332</c:v>
                </c:pt>
              </c:numCache>
            </c:numRef>
          </c:cat>
          <c:val>
            <c:numRef>
              <c:f>'2011 - Gráficos'!$G$19:$G$32</c:f>
              <c:numCache>
                <c:formatCode>0</c:formatCode>
                <c:ptCount val="14"/>
                <c:pt idx="0">
                  <c:v>1</c:v>
                </c:pt>
                <c:pt idx="1">
                  <c:v>1</c:v>
                </c:pt>
                <c:pt idx="2">
                  <c:v>1</c:v>
                </c:pt>
                <c:pt idx="3">
                  <c:v>1</c:v>
                </c:pt>
                <c:pt idx="4">
                  <c:v>1</c:v>
                </c:pt>
                <c:pt idx="5">
                  <c:v>1</c:v>
                </c:pt>
                <c:pt idx="6">
                  <c:v>1</c:v>
                </c:pt>
                <c:pt idx="7">
                  <c:v>1</c:v>
                </c:pt>
                <c:pt idx="8">
                  <c:v>1</c:v>
                </c:pt>
                <c:pt idx="9">
                  <c:v>1</c:v>
                </c:pt>
                <c:pt idx="10">
                  <c:v>1</c:v>
                </c:pt>
                <c:pt idx="11">
                  <c:v>1</c:v>
                </c:pt>
                <c:pt idx="12">
                  <c:v>1</c:v>
                </c:pt>
                <c:pt idx="13">
                  <c:v>1</c:v>
                </c:pt>
              </c:numCache>
            </c:numRef>
          </c:val>
        </c:ser>
        <c:dLbls>
          <c:showLegendKey val="0"/>
          <c:showVal val="0"/>
          <c:showCatName val="0"/>
          <c:showSerName val="0"/>
          <c:showPercent val="0"/>
          <c:showBubbleSize val="0"/>
        </c:dLbls>
        <c:gapWidth val="300"/>
        <c:axId val="111432064"/>
        <c:axId val="111433600"/>
      </c:barChart>
      <c:catAx>
        <c:axId val="111432064"/>
        <c:scaling>
          <c:orientation val="minMax"/>
        </c:scaling>
        <c:delete val="0"/>
        <c:axPos val="b"/>
        <c:numFmt formatCode="General" sourceLinked="1"/>
        <c:majorTickMark val="none"/>
        <c:minorTickMark val="none"/>
        <c:tickLblPos val="nextTo"/>
        <c:crossAx val="111433600"/>
        <c:crosses val="autoZero"/>
        <c:auto val="1"/>
        <c:lblAlgn val="ctr"/>
        <c:lblOffset val="100"/>
        <c:noMultiLvlLbl val="0"/>
      </c:catAx>
      <c:valAx>
        <c:axId val="111433600"/>
        <c:scaling>
          <c:orientation val="minMax"/>
        </c:scaling>
        <c:delete val="0"/>
        <c:axPos val="l"/>
        <c:majorGridlines/>
        <c:minorGridlines/>
        <c:numFmt formatCode="0" sourceLinked="1"/>
        <c:majorTickMark val="out"/>
        <c:minorTickMark val="none"/>
        <c:tickLblPos val="nextTo"/>
        <c:crossAx val="111432064"/>
        <c:crosses val="autoZero"/>
        <c:crossBetween val="between"/>
      </c:valAx>
    </c:plotArea>
    <c:legend>
      <c:legendPos val="r"/>
      <c:layout/>
      <c:overlay val="0"/>
    </c:legend>
    <c:plotVisOnly val="1"/>
    <c:dispBlanksAs val="gap"/>
    <c:showDLblsOverMax val="0"/>
  </c:chart>
  <c:printSettings>
    <c:headerFooter/>
    <c:pageMargins b="0.75" l="0.7" r="0.7" t="0.75" header="0.3" footer="0.3"/>
    <c:pageSetup/>
  </c:printSettings>
</c:chartSpace>
</file>

<file path=xl/charts/chart82.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Total de avarias Moinhos</c:v>
          </c:tx>
          <c:invertIfNegative val="0"/>
          <c:dLbls>
            <c:dLbl>
              <c:idx val="0"/>
              <c:layout/>
              <c:showLegendKey val="0"/>
              <c:showVal val="1"/>
              <c:showCatName val="0"/>
              <c:showSerName val="0"/>
              <c:showPercent val="0"/>
              <c:showBubbleSize val="0"/>
            </c:dLbl>
            <c:numFmt formatCode="#,##0;\-#,##0" sourceLinked="0"/>
            <c:txPr>
              <a:bodyPr/>
              <a:lstStyle/>
              <a:p>
                <a:pPr>
                  <a:defRPr b="1"/>
                </a:pPr>
                <a:endParaRPr lang="pt-PT"/>
              </a:p>
            </c:txPr>
            <c:showLegendKey val="0"/>
            <c:showVal val="0"/>
            <c:showCatName val="0"/>
            <c:showSerName val="0"/>
            <c:showPercent val="0"/>
            <c:showBubbleSize val="0"/>
          </c:dLbls>
          <c:cat>
            <c:numRef>
              <c:f>'2011 - Gráficos'!$F$33</c:f>
              <c:numCache>
                <c:formatCode>General</c:formatCode>
                <c:ptCount val="1"/>
                <c:pt idx="0">
                  <c:v>112</c:v>
                </c:pt>
              </c:numCache>
            </c:numRef>
          </c:cat>
          <c:val>
            <c:numRef>
              <c:f>'2011 - Gráficos'!$G$33</c:f>
              <c:numCache>
                <c:formatCode>0</c:formatCode>
                <c:ptCount val="1"/>
                <c:pt idx="0">
                  <c:v>1</c:v>
                </c:pt>
              </c:numCache>
            </c:numRef>
          </c:val>
        </c:ser>
        <c:dLbls>
          <c:showLegendKey val="0"/>
          <c:showVal val="0"/>
          <c:showCatName val="0"/>
          <c:showSerName val="0"/>
          <c:showPercent val="0"/>
          <c:showBubbleSize val="0"/>
        </c:dLbls>
        <c:gapWidth val="300"/>
        <c:axId val="111450368"/>
        <c:axId val="111472640"/>
      </c:barChart>
      <c:catAx>
        <c:axId val="111450368"/>
        <c:scaling>
          <c:orientation val="minMax"/>
        </c:scaling>
        <c:delete val="0"/>
        <c:axPos val="b"/>
        <c:numFmt formatCode="General" sourceLinked="1"/>
        <c:majorTickMark val="none"/>
        <c:minorTickMark val="none"/>
        <c:tickLblPos val="nextTo"/>
        <c:crossAx val="111472640"/>
        <c:crosses val="autoZero"/>
        <c:auto val="1"/>
        <c:lblAlgn val="ctr"/>
        <c:lblOffset val="100"/>
        <c:noMultiLvlLbl val="0"/>
      </c:catAx>
      <c:valAx>
        <c:axId val="111472640"/>
        <c:scaling>
          <c:orientation val="minMax"/>
        </c:scaling>
        <c:delete val="0"/>
        <c:axPos val="l"/>
        <c:majorGridlines/>
        <c:minorGridlines/>
        <c:numFmt formatCode="0" sourceLinked="1"/>
        <c:majorTickMark val="out"/>
        <c:minorTickMark val="none"/>
        <c:tickLblPos val="nextTo"/>
        <c:crossAx val="111450368"/>
        <c:crosses val="autoZero"/>
        <c:crossBetween val="between"/>
      </c:valAx>
    </c:plotArea>
    <c:legend>
      <c:legendPos val="r"/>
      <c:layout/>
      <c:overlay val="0"/>
    </c:legend>
    <c:plotVisOnly val="1"/>
    <c:dispBlanksAs val="gap"/>
    <c:showDLblsOverMax val="0"/>
  </c:chart>
  <c:printSettings>
    <c:headerFooter/>
    <c:pageMargins b="0.75" l="0.7" r="0.7" t="0.75" header="0.3" footer="0.3"/>
    <c:pageSetup/>
  </c:printSettings>
</c:chartSpace>
</file>

<file path=xl/charts/chart83.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Total de avarias Postos Urb.</c:v>
          </c:tx>
          <c:invertIfNegative val="0"/>
          <c:dLbls>
            <c:numFmt formatCode="#,##0;\-#,##0" sourceLinked="0"/>
            <c:txPr>
              <a:bodyPr/>
              <a:lstStyle/>
              <a:p>
                <a:pPr>
                  <a:defRPr b="1"/>
                </a:pPr>
                <a:endParaRPr lang="pt-PT"/>
              </a:p>
            </c:txPr>
            <c:showLegendKey val="0"/>
            <c:showVal val="1"/>
            <c:showCatName val="0"/>
            <c:showSerName val="0"/>
            <c:showPercent val="0"/>
            <c:showBubbleSize val="0"/>
            <c:showLeaderLines val="0"/>
          </c:dLbls>
          <c:cat>
            <c:numRef>
              <c:f>'2011 - Gráficos'!$F$34:$F$35</c:f>
              <c:numCache>
                <c:formatCode>General</c:formatCode>
                <c:ptCount val="2"/>
                <c:pt idx="0">
                  <c:v>215</c:v>
                </c:pt>
                <c:pt idx="1">
                  <c:v>239</c:v>
                </c:pt>
              </c:numCache>
            </c:numRef>
          </c:cat>
          <c:val>
            <c:numRef>
              <c:f>'2011 - Gráficos'!$G$34:$G$35</c:f>
              <c:numCache>
                <c:formatCode>0</c:formatCode>
                <c:ptCount val="2"/>
                <c:pt idx="0">
                  <c:v>1</c:v>
                </c:pt>
                <c:pt idx="1">
                  <c:v>1</c:v>
                </c:pt>
              </c:numCache>
            </c:numRef>
          </c:val>
        </c:ser>
        <c:dLbls>
          <c:showLegendKey val="0"/>
          <c:showVal val="0"/>
          <c:showCatName val="0"/>
          <c:showSerName val="0"/>
          <c:showPercent val="0"/>
          <c:showBubbleSize val="0"/>
        </c:dLbls>
        <c:gapWidth val="300"/>
        <c:axId val="115503104"/>
        <c:axId val="115504640"/>
      </c:barChart>
      <c:catAx>
        <c:axId val="115503104"/>
        <c:scaling>
          <c:orientation val="minMax"/>
        </c:scaling>
        <c:delete val="0"/>
        <c:axPos val="b"/>
        <c:numFmt formatCode="General" sourceLinked="1"/>
        <c:majorTickMark val="none"/>
        <c:minorTickMark val="none"/>
        <c:tickLblPos val="nextTo"/>
        <c:crossAx val="115504640"/>
        <c:crosses val="autoZero"/>
        <c:auto val="1"/>
        <c:lblAlgn val="ctr"/>
        <c:lblOffset val="100"/>
        <c:noMultiLvlLbl val="0"/>
      </c:catAx>
      <c:valAx>
        <c:axId val="115504640"/>
        <c:scaling>
          <c:orientation val="minMax"/>
        </c:scaling>
        <c:delete val="0"/>
        <c:axPos val="l"/>
        <c:majorGridlines/>
        <c:minorGridlines/>
        <c:numFmt formatCode="0" sourceLinked="1"/>
        <c:majorTickMark val="out"/>
        <c:minorTickMark val="none"/>
        <c:tickLblPos val="nextTo"/>
        <c:crossAx val="115503104"/>
        <c:crosses val="autoZero"/>
        <c:crossBetween val="between"/>
      </c:valAx>
    </c:plotArea>
    <c:legend>
      <c:legendPos val="r"/>
      <c:layout/>
      <c:overlay val="0"/>
    </c:legend>
    <c:plotVisOnly val="1"/>
    <c:dispBlanksAs val="gap"/>
    <c:showDLblsOverMax val="0"/>
  </c:chart>
  <c:printSettings>
    <c:headerFooter/>
    <c:pageMargins b="0.75" l="0.7" r="0.7" t="0.75" header="0.3" footer="0.3"/>
    <c:pageSetup/>
  </c:printSettings>
</c:chartSpace>
</file>

<file path=xl/charts/chart84.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Total de avarias Combustivel fossil 31</c:v>
          </c:tx>
          <c:invertIfNegative val="0"/>
          <c:dLbls>
            <c:numFmt formatCode="#,##0;\-#,##0" sourceLinked="0"/>
            <c:txPr>
              <a:bodyPr/>
              <a:lstStyle/>
              <a:p>
                <a:pPr>
                  <a:defRPr b="1"/>
                </a:pPr>
                <a:endParaRPr lang="pt-PT"/>
              </a:p>
            </c:txPr>
            <c:showLegendKey val="0"/>
            <c:showVal val="1"/>
            <c:showCatName val="0"/>
            <c:showSerName val="0"/>
            <c:showPercent val="0"/>
            <c:showBubbleSize val="0"/>
            <c:showLeaderLines val="0"/>
          </c:dLbls>
          <c:cat>
            <c:numRef>
              <c:f>'2011 - Gráficos'!$F$8</c:f>
              <c:numCache>
                <c:formatCode>General</c:formatCode>
                <c:ptCount val="1"/>
                <c:pt idx="0">
                  <c:v>137</c:v>
                </c:pt>
              </c:numCache>
            </c:numRef>
          </c:cat>
          <c:val>
            <c:numRef>
              <c:f>'2011 - Gráficos'!$G$8</c:f>
              <c:numCache>
                <c:formatCode>0</c:formatCode>
                <c:ptCount val="1"/>
                <c:pt idx="0">
                  <c:v>1</c:v>
                </c:pt>
              </c:numCache>
            </c:numRef>
          </c:val>
        </c:ser>
        <c:dLbls>
          <c:showLegendKey val="0"/>
          <c:showVal val="0"/>
          <c:showCatName val="0"/>
          <c:showSerName val="0"/>
          <c:showPercent val="0"/>
          <c:showBubbleSize val="0"/>
        </c:dLbls>
        <c:gapWidth val="300"/>
        <c:axId val="115537408"/>
        <c:axId val="115538944"/>
      </c:barChart>
      <c:catAx>
        <c:axId val="115537408"/>
        <c:scaling>
          <c:orientation val="minMax"/>
        </c:scaling>
        <c:delete val="0"/>
        <c:axPos val="b"/>
        <c:numFmt formatCode="General" sourceLinked="1"/>
        <c:majorTickMark val="none"/>
        <c:minorTickMark val="none"/>
        <c:tickLblPos val="nextTo"/>
        <c:crossAx val="115538944"/>
        <c:crosses val="autoZero"/>
        <c:auto val="1"/>
        <c:lblAlgn val="ctr"/>
        <c:lblOffset val="100"/>
        <c:noMultiLvlLbl val="0"/>
      </c:catAx>
      <c:valAx>
        <c:axId val="115538944"/>
        <c:scaling>
          <c:orientation val="minMax"/>
        </c:scaling>
        <c:delete val="0"/>
        <c:axPos val="l"/>
        <c:majorGridlines/>
        <c:minorGridlines/>
        <c:numFmt formatCode="0" sourceLinked="1"/>
        <c:majorTickMark val="out"/>
        <c:minorTickMark val="none"/>
        <c:tickLblPos val="nextTo"/>
        <c:crossAx val="115537408"/>
        <c:crosses val="autoZero"/>
        <c:crossBetween val="between"/>
      </c:valAx>
    </c:plotArea>
    <c:legend>
      <c:legendPos val="r"/>
      <c:layout/>
      <c:overlay val="0"/>
    </c:legend>
    <c:plotVisOnly val="1"/>
    <c:dispBlanksAs val="gap"/>
    <c:showDLblsOverMax val="0"/>
  </c:chart>
  <c:printSettings>
    <c:headerFooter/>
    <c:pageMargins b="0.75" l="0.7" r="0.7" t="0.75" header="0.3" footer="0.3"/>
    <c:pageSetup/>
  </c:printSettings>
</c:chartSpace>
</file>

<file path=xl/charts/chart85.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Total de avarias Incinerador 1</c:v>
          </c:tx>
          <c:invertIfNegative val="0"/>
          <c:dLbls>
            <c:numFmt formatCode="#,##0;\-#,##0" sourceLinked="0"/>
            <c:txPr>
              <a:bodyPr/>
              <a:lstStyle/>
              <a:p>
                <a:pPr>
                  <a:defRPr b="1"/>
                </a:pPr>
                <a:endParaRPr lang="pt-PT"/>
              </a:p>
            </c:txPr>
            <c:showLegendKey val="0"/>
            <c:showVal val="1"/>
            <c:showCatName val="0"/>
            <c:showSerName val="0"/>
            <c:showPercent val="0"/>
            <c:showBubbleSize val="0"/>
            <c:showLeaderLines val="0"/>
          </c:dLbls>
          <c:cat>
            <c:numRef>
              <c:f>'2011 - Gráficos'!$F$9:$F$10</c:f>
              <c:numCache>
                <c:formatCode>General</c:formatCode>
                <c:ptCount val="2"/>
                <c:pt idx="0">
                  <c:v>18</c:v>
                </c:pt>
                <c:pt idx="1">
                  <c:v>52</c:v>
                </c:pt>
              </c:numCache>
            </c:numRef>
          </c:cat>
          <c:val>
            <c:numRef>
              <c:f>'2011 - Gráficos'!$G$9:$G$10</c:f>
              <c:numCache>
                <c:formatCode>0</c:formatCode>
                <c:ptCount val="2"/>
                <c:pt idx="0">
                  <c:v>1</c:v>
                </c:pt>
                <c:pt idx="1">
                  <c:v>1</c:v>
                </c:pt>
              </c:numCache>
            </c:numRef>
          </c:val>
        </c:ser>
        <c:dLbls>
          <c:showLegendKey val="0"/>
          <c:showVal val="0"/>
          <c:showCatName val="0"/>
          <c:showSerName val="0"/>
          <c:showPercent val="0"/>
          <c:showBubbleSize val="0"/>
        </c:dLbls>
        <c:gapWidth val="300"/>
        <c:axId val="115551232"/>
        <c:axId val="115557120"/>
      </c:barChart>
      <c:catAx>
        <c:axId val="115551232"/>
        <c:scaling>
          <c:orientation val="minMax"/>
        </c:scaling>
        <c:delete val="0"/>
        <c:axPos val="b"/>
        <c:numFmt formatCode="General" sourceLinked="1"/>
        <c:majorTickMark val="none"/>
        <c:minorTickMark val="none"/>
        <c:tickLblPos val="nextTo"/>
        <c:crossAx val="115557120"/>
        <c:crosses val="autoZero"/>
        <c:auto val="1"/>
        <c:lblAlgn val="ctr"/>
        <c:lblOffset val="100"/>
        <c:noMultiLvlLbl val="0"/>
      </c:catAx>
      <c:valAx>
        <c:axId val="115557120"/>
        <c:scaling>
          <c:orientation val="minMax"/>
        </c:scaling>
        <c:delete val="0"/>
        <c:axPos val="l"/>
        <c:majorGridlines/>
        <c:minorGridlines/>
        <c:numFmt formatCode="0" sourceLinked="1"/>
        <c:majorTickMark val="out"/>
        <c:minorTickMark val="none"/>
        <c:tickLblPos val="nextTo"/>
        <c:crossAx val="115551232"/>
        <c:crosses val="autoZero"/>
        <c:crossBetween val="between"/>
      </c:valAx>
    </c:plotArea>
    <c:legend>
      <c:legendPos val="r"/>
      <c:layout/>
      <c:overlay val="0"/>
    </c:legend>
    <c:plotVisOnly val="1"/>
    <c:dispBlanksAs val="gap"/>
    <c:showDLblsOverMax val="0"/>
  </c:chart>
  <c:printSettings>
    <c:headerFooter/>
    <c:pageMargins b="0.75" l="0.7" r="0.7" t="0.75" header="0.3" footer="0.3"/>
    <c:pageSetup/>
  </c:printSettings>
</c:chartSpace>
</file>

<file path=xl/charts/chart86.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42"/>
    </mc:Choice>
    <mc:Fallback>
      <c:style val="42"/>
    </mc:Fallback>
  </mc:AlternateContent>
  <c:chart>
    <c:title>
      <c:tx>
        <c:rich>
          <a:bodyPr/>
          <a:lstStyle/>
          <a:p>
            <a:pPr>
              <a:defRPr/>
            </a:pPr>
            <a:r>
              <a:rPr lang="en-US"/>
              <a:t>Pasta de papel</a:t>
            </a:r>
          </a:p>
        </c:rich>
      </c:tx>
      <c:layout/>
      <c:overlay val="0"/>
    </c:title>
    <c:autoTitleDeleted val="0"/>
    <c:plotArea>
      <c:layout>
        <c:manualLayout>
          <c:layoutTarget val="inner"/>
          <c:xMode val="edge"/>
          <c:yMode val="edge"/>
          <c:x val="2.4691358024691357E-2"/>
          <c:y val="0.32444484748597435"/>
          <c:w val="0.95286195286195285"/>
          <c:h val="0.55961308824621336"/>
        </c:manualLayout>
      </c:layout>
      <c:barChart>
        <c:barDir val="bar"/>
        <c:grouping val="stacked"/>
        <c:varyColors val="0"/>
        <c:ser>
          <c:idx val="0"/>
          <c:order val="0"/>
          <c:invertIfNegative val="0"/>
          <c:dLbls>
            <c:showLegendKey val="0"/>
            <c:showVal val="1"/>
            <c:showCatName val="0"/>
            <c:showSerName val="0"/>
            <c:showPercent val="0"/>
            <c:showBubbleSize val="0"/>
            <c:showLeaderLines val="0"/>
          </c:dLbls>
          <c:val>
            <c:numRef>
              <c:f>'2011 - Ciclo de Operação'!$B$7</c:f>
              <c:numCache>
                <c:formatCode>0</c:formatCode>
                <c:ptCount val="1"/>
                <c:pt idx="0">
                  <c:v>960</c:v>
                </c:pt>
              </c:numCache>
            </c:numRef>
          </c:val>
        </c:ser>
        <c:ser>
          <c:idx val="1"/>
          <c:order val="1"/>
          <c:invertIfNegative val="0"/>
          <c:dLbls>
            <c:dLbl>
              <c:idx val="0"/>
              <c:layout>
                <c:manualLayout>
                  <c:x val="0"/>
                  <c:y val="-0.16675441020709561"/>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'2011 - Ciclo de Operação'!$I$7</c:f>
              <c:numCache>
                <c:formatCode>General</c:formatCode>
                <c:ptCount val="1"/>
                <c:pt idx="0">
                  <c:v>3</c:v>
                </c:pt>
              </c:numCache>
            </c:numRef>
          </c:val>
        </c:ser>
        <c:ser>
          <c:idx val="2"/>
          <c:order val="2"/>
          <c:invertIfNegative val="0"/>
          <c:dLbls>
            <c:showLegendKey val="0"/>
            <c:showVal val="1"/>
            <c:showCatName val="0"/>
            <c:showSerName val="0"/>
            <c:showPercent val="0"/>
            <c:showBubbleSize val="0"/>
            <c:showLeaderLines val="0"/>
          </c:dLbls>
          <c:val>
            <c:numRef>
              <c:f>'2011 - Ciclo de Operação'!$B$8</c:f>
              <c:numCache>
                <c:formatCode>0</c:formatCode>
                <c:ptCount val="1"/>
                <c:pt idx="0">
                  <c:v>5136</c:v>
                </c:pt>
              </c:numCache>
            </c:numRef>
          </c:val>
        </c:ser>
        <c:ser>
          <c:idx val="3"/>
          <c:order val="3"/>
          <c:invertIfNegative val="0"/>
          <c:dLbls>
            <c:dLbl>
              <c:idx val="0"/>
              <c:layout>
                <c:manualLayout>
                  <c:x val="-2.4584240804768026E-3"/>
                  <c:y val="-0.16675441020709561"/>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'2011 - Ciclo de Operação'!$I$8</c:f>
              <c:numCache>
                <c:formatCode>General</c:formatCode>
                <c:ptCount val="1"/>
                <c:pt idx="0">
                  <c:v>4</c:v>
                </c:pt>
              </c:numCache>
            </c:numRef>
          </c:val>
        </c:ser>
        <c:ser>
          <c:idx val="4"/>
          <c:order val="4"/>
          <c:invertIfNegative val="0"/>
          <c:dLbls>
            <c:showLegendKey val="0"/>
            <c:showVal val="1"/>
            <c:showCatName val="0"/>
            <c:showSerName val="0"/>
            <c:showPercent val="0"/>
            <c:showBubbleSize val="0"/>
            <c:showLeaderLines val="0"/>
          </c:dLbls>
          <c:val>
            <c:numRef>
              <c:f>'2011 - Ciclo de Operação'!$B$9</c:f>
              <c:numCache>
                <c:formatCode>0</c:formatCode>
                <c:ptCount val="1"/>
                <c:pt idx="0">
                  <c:v>2544</c:v>
                </c:pt>
              </c:numCache>
            </c:numRef>
          </c:val>
        </c:ser>
        <c:dLbls>
          <c:showLegendKey val="0"/>
          <c:showVal val="0"/>
          <c:showCatName val="0"/>
          <c:showSerName val="0"/>
          <c:showPercent val="0"/>
          <c:showBubbleSize val="0"/>
        </c:dLbls>
        <c:gapWidth val="150"/>
        <c:overlap val="100"/>
        <c:axId val="115412352"/>
        <c:axId val="115426432"/>
      </c:barChart>
      <c:catAx>
        <c:axId val="115412352"/>
        <c:scaling>
          <c:orientation val="minMax"/>
        </c:scaling>
        <c:delete val="1"/>
        <c:axPos val="l"/>
        <c:majorTickMark val="out"/>
        <c:minorTickMark val="none"/>
        <c:tickLblPos val="nextTo"/>
        <c:crossAx val="115426432"/>
        <c:crosses val="autoZero"/>
        <c:auto val="1"/>
        <c:lblAlgn val="ctr"/>
        <c:lblOffset val="100"/>
        <c:noMultiLvlLbl val="0"/>
      </c:catAx>
      <c:valAx>
        <c:axId val="115426432"/>
        <c:scaling>
          <c:orientation val="minMax"/>
        </c:scaling>
        <c:delete val="1"/>
        <c:axPos val="b"/>
        <c:numFmt formatCode="0" sourceLinked="1"/>
        <c:majorTickMark val="out"/>
        <c:minorTickMark val="none"/>
        <c:tickLblPos val="nextTo"/>
        <c:crossAx val="115412352"/>
        <c:crosses val="autoZero"/>
        <c:crossBetween val="between"/>
      </c:valAx>
      <c:spPr>
        <a:noFill/>
        <a:ln w="25400">
          <a:noFill/>
        </a:ln>
      </c:spPr>
    </c:plotArea>
    <c:plotVisOnly val="1"/>
    <c:dispBlanksAs val="gap"/>
    <c:showDLblsOverMax val="0"/>
  </c:chart>
  <c:printSettings>
    <c:headerFooter/>
    <c:pageMargins b="0.75" l="0.7" r="0.7" t="0.75" header="0.3" footer="0.3"/>
    <c:pageSetup/>
  </c:printSettings>
  <c:userShapes r:id="rId1"/>
</c:chartSpace>
</file>

<file path=xl/charts/chart87.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42"/>
    </mc:Choice>
    <mc:Fallback>
      <c:style val="42"/>
    </mc:Fallback>
  </mc:AlternateContent>
  <c:chart>
    <c:title>
      <c:tx>
        <c:rich>
          <a:bodyPr/>
          <a:lstStyle/>
          <a:p>
            <a:pPr>
              <a:defRPr/>
            </a:pPr>
            <a:r>
              <a:rPr lang="en-US"/>
              <a:t>Combustivel fossil - Filtro</a:t>
            </a:r>
          </a:p>
        </c:rich>
      </c:tx>
      <c:layout/>
      <c:overlay val="0"/>
    </c:title>
    <c:autoTitleDeleted val="0"/>
    <c:plotArea>
      <c:layout>
        <c:manualLayout>
          <c:layoutTarget val="inner"/>
          <c:xMode val="edge"/>
          <c:yMode val="edge"/>
          <c:x val="2.4691358024691357E-2"/>
          <c:y val="0.32444484748597435"/>
          <c:w val="0.95286195286195285"/>
          <c:h val="0.55961308824621336"/>
        </c:manualLayout>
      </c:layout>
      <c:barChart>
        <c:barDir val="bar"/>
        <c:grouping val="stacked"/>
        <c:varyColors val="0"/>
        <c:ser>
          <c:idx val="0"/>
          <c:order val="0"/>
          <c:invertIfNegative val="0"/>
          <c:dLbls>
            <c:showLegendKey val="0"/>
            <c:showVal val="1"/>
            <c:showCatName val="0"/>
            <c:showSerName val="0"/>
            <c:showPercent val="0"/>
            <c:showBubbleSize val="0"/>
            <c:showLeaderLines val="0"/>
          </c:dLbls>
          <c:val>
            <c:numRef>
              <c:f>'2011 - Ciclo de Operação'!$B$10</c:f>
              <c:numCache>
                <c:formatCode>0</c:formatCode>
                <c:ptCount val="1"/>
                <c:pt idx="0">
                  <c:v>3288</c:v>
                </c:pt>
              </c:numCache>
            </c:numRef>
          </c:val>
        </c:ser>
        <c:ser>
          <c:idx val="1"/>
          <c:order val="1"/>
          <c:invertIfNegative val="0"/>
          <c:dLbls>
            <c:dLbl>
              <c:idx val="0"/>
              <c:layout>
                <c:manualLayout>
                  <c:x val="2.4743321407542126E-3"/>
                  <c:y val="-0.17402418151332524"/>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'2011 - Ciclo de Operação'!$I$10</c:f>
              <c:numCache>
                <c:formatCode>General</c:formatCode>
                <c:ptCount val="1"/>
                <c:pt idx="0">
                  <c:v>2</c:v>
                </c:pt>
              </c:numCache>
            </c:numRef>
          </c:val>
        </c:ser>
        <c:ser>
          <c:idx val="2"/>
          <c:order val="2"/>
          <c:invertIfNegative val="0"/>
          <c:dLbls>
            <c:showLegendKey val="0"/>
            <c:showVal val="1"/>
            <c:showCatName val="0"/>
            <c:showSerName val="0"/>
            <c:showPercent val="0"/>
            <c:showBubbleSize val="0"/>
            <c:showLeaderLines val="0"/>
          </c:dLbls>
          <c:val>
            <c:numRef>
              <c:f>'2011 - Ciclo de Operação'!$B$11</c:f>
              <c:numCache>
                <c:formatCode>0</c:formatCode>
                <c:ptCount val="1"/>
                <c:pt idx="0">
                  <c:v>5352</c:v>
                </c:pt>
              </c:numCache>
            </c:numRef>
          </c:val>
        </c:ser>
        <c:dLbls>
          <c:showLegendKey val="0"/>
          <c:showVal val="0"/>
          <c:showCatName val="0"/>
          <c:showSerName val="0"/>
          <c:showPercent val="0"/>
          <c:showBubbleSize val="0"/>
        </c:dLbls>
        <c:gapWidth val="150"/>
        <c:overlap val="100"/>
        <c:axId val="115470720"/>
        <c:axId val="115472256"/>
      </c:barChart>
      <c:catAx>
        <c:axId val="115470720"/>
        <c:scaling>
          <c:orientation val="minMax"/>
        </c:scaling>
        <c:delete val="1"/>
        <c:axPos val="l"/>
        <c:majorTickMark val="out"/>
        <c:minorTickMark val="none"/>
        <c:tickLblPos val="nextTo"/>
        <c:crossAx val="115472256"/>
        <c:crosses val="autoZero"/>
        <c:auto val="1"/>
        <c:lblAlgn val="ctr"/>
        <c:lblOffset val="100"/>
        <c:noMultiLvlLbl val="0"/>
      </c:catAx>
      <c:valAx>
        <c:axId val="115472256"/>
        <c:scaling>
          <c:orientation val="minMax"/>
        </c:scaling>
        <c:delete val="1"/>
        <c:axPos val="b"/>
        <c:numFmt formatCode="0" sourceLinked="1"/>
        <c:majorTickMark val="out"/>
        <c:minorTickMark val="none"/>
        <c:tickLblPos val="nextTo"/>
        <c:crossAx val="115470720"/>
        <c:crosses val="autoZero"/>
        <c:crossBetween val="between"/>
      </c:valAx>
      <c:spPr>
        <a:noFill/>
        <a:ln w="25400">
          <a:noFill/>
        </a:ln>
      </c:spPr>
    </c:plotArea>
    <c:plotVisOnly val="1"/>
    <c:dispBlanksAs val="gap"/>
    <c:showDLblsOverMax val="0"/>
  </c:chart>
  <c:printSettings>
    <c:headerFooter/>
    <c:pageMargins b="0.75" l="0.7" r="0.7" t="0.75" header="0.3" footer="0.3"/>
    <c:pageSetup/>
  </c:printSettings>
  <c:userShapes r:id="rId1"/>
</c:chartSpace>
</file>

<file path=xl/charts/chart88.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42"/>
    </mc:Choice>
    <mc:Fallback>
      <c:style val="42"/>
    </mc:Fallback>
  </mc:AlternateContent>
  <c:chart>
    <c:title>
      <c:tx>
        <c:rich>
          <a:bodyPr/>
          <a:lstStyle/>
          <a:p>
            <a:pPr>
              <a:defRPr/>
            </a:pPr>
            <a:r>
              <a:rPr lang="en-US"/>
              <a:t>Incinerador 1 - Chaminé</a:t>
            </a:r>
          </a:p>
        </c:rich>
      </c:tx>
      <c:layout/>
      <c:overlay val="0"/>
    </c:title>
    <c:autoTitleDeleted val="0"/>
    <c:plotArea>
      <c:layout>
        <c:manualLayout>
          <c:layoutTarget val="inner"/>
          <c:xMode val="edge"/>
          <c:yMode val="edge"/>
          <c:x val="2.4691358024691357E-2"/>
          <c:y val="0.32444484748597435"/>
          <c:w val="0.95286195286195285"/>
          <c:h val="0.55961308824621336"/>
        </c:manualLayout>
      </c:layout>
      <c:barChart>
        <c:barDir val="bar"/>
        <c:grouping val="stacked"/>
        <c:varyColors val="0"/>
        <c:ser>
          <c:idx val="0"/>
          <c:order val="0"/>
          <c:invertIfNegative val="0"/>
          <c:dLbls>
            <c:showLegendKey val="0"/>
            <c:showVal val="1"/>
            <c:showCatName val="0"/>
            <c:showSerName val="0"/>
            <c:showPercent val="0"/>
            <c:showBubbleSize val="0"/>
            <c:showLeaderLines val="0"/>
          </c:dLbls>
          <c:val>
            <c:numRef>
              <c:f>'2011 - Ciclo de Operação'!$B$14</c:f>
              <c:numCache>
                <c:formatCode>0</c:formatCode>
                <c:ptCount val="1"/>
                <c:pt idx="0">
                  <c:v>1248</c:v>
                </c:pt>
              </c:numCache>
            </c:numRef>
          </c:val>
        </c:ser>
        <c:ser>
          <c:idx val="1"/>
          <c:order val="1"/>
          <c:invertIfNegative val="0"/>
          <c:dLbls>
            <c:dLbl>
              <c:idx val="0"/>
              <c:layout>
                <c:manualLayout>
                  <c:x val="0"/>
                  <c:y val="-0.15820380137575021"/>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'2011 - Ciclo de Operação'!$I$14</c:f>
              <c:numCache>
                <c:formatCode>General</c:formatCode>
                <c:ptCount val="1"/>
                <c:pt idx="0">
                  <c:v>0.5</c:v>
                </c:pt>
              </c:numCache>
            </c:numRef>
          </c:val>
        </c:ser>
        <c:ser>
          <c:idx val="2"/>
          <c:order val="2"/>
          <c:invertIfNegative val="0"/>
          <c:dLbls>
            <c:showLegendKey val="0"/>
            <c:showVal val="1"/>
            <c:showCatName val="0"/>
            <c:showSerName val="0"/>
            <c:showPercent val="0"/>
            <c:showBubbleSize val="0"/>
            <c:showLeaderLines val="0"/>
          </c:dLbls>
          <c:val>
            <c:numRef>
              <c:f>'2011 - Ciclo de Operação'!$B$15</c:f>
              <c:numCache>
                <c:formatCode>0</c:formatCode>
                <c:ptCount val="1"/>
                <c:pt idx="0">
                  <c:v>7392</c:v>
                </c:pt>
              </c:numCache>
            </c:numRef>
          </c:val>
        </c:ser>
        <c:dLbls>
          <c:showLegendKey val="0"/>
          <c:showVal val="0"/>
          <c:showCatName val="0"/>
          <c:showSerName val="0"/>
          <c:showPercent val="0"/>
          <c:showBubbleSize val="0"/>
        </c:dLbls>
        <c:gapWidth val="150"/>
        <c:overlap val="100"/>
        <c:axId val="115995776"/>
        <c:axId val="115997312"/>
      </c:barChart>
      <c:catAx>
        <c:axId val="115995776"/>
        <c:scaling>
          <c:orientation val="minMax"/>
        </c:scaling>
        <c:delete val="1"/>
        <c:axPos val="l"/>
        <c:majorTickMark val="out"/>
        <c:minorTickMark val="none"/>
        <c:tickLblPos val="nextTo"/>
        <c:crossAx val="115997312"/>
        <c:crosses val="autoZero"/>
        <c:auto val="1"/>
        <c:lblAlgn val="ctr"/>
        <c:lblOffset val="100"/>
        <c:noMultiLvlLbl val="0"/>
      </c:catAx>
      <c:valAx>
        <c:axId val="115997312"/>
        <c:scaling>
          <c:orientation val="minMax"/>
        </c:scaling>
        <c:delete val="1"/>
        <c:axPos val="b"/>
        <c:numFmt formatCode="0" sourceLinked="1"/>
        <c:majorTickMark val="out"/>
        <c:minorTickMark val="none"/>
        <c:tickLblPos val="nextTo"/>
        <c:crossAx val="115995776"/>
        <c:crosses val="autoZero"/>
        <c:crossBetween val="between"/>
      </c:valAx>
      <c:spPr>
        <a:noFill/>
        <a:ln w="25400">
          <a:noFill/>
        </a:ln>
      </c:spPr>
    </c:plotArea>
    <c:plotVisOnly val="1"/>
    <c:dispBlanksAs val="gap"/>
    <c:showDLblsOverMax val="0"/>
  </c:chart>
  <c:printSettings>
    <c:headerFooter/>
    <c:pageMargins b="0.75" l="0.7" r="0.7" t="0.75" header="0.3" footer="0.3"/>
    <c:pageSetup/>
  </c:printSettings>
  <c:userShapes r:id="rId1"/>
</c:chartSpace>
</file>

<file path=xl/charts/chart89.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42"/>
    </mc:Choice>
    <mc:Fallback>
      <c:style val="42"/>
    </mc:Fallback>
  </mc:AlternateContent>
  <c:chart>
    <c:title>
      <c:tx>
        <c:rich>
          <a:bodyPr/>
          <a:lstStyle/>
          <a:p>
            <a:pPr>
              <a:defRPr/>
            </a:pPr>
            <a:r>
              <a:rPr lang="en-US"/>
              <a:t>Incinerador 2 - Alimentação</a:t>
            </a:r>
          </a:p>
        </c:rich>
      </c:tx>
      <c:layout/>
      <c:overlay val="0"/>
    </c:title>
    <c:autoTitleDeleted val="0"/>
    <c:plotArea>
      <c:layout>
        <c:manualLayout>
          <c:layoutTarget val="inner"/>
          <c:xMode val="edge"/>
          <c:yMode val="edge"/>
          <c:x val="2.4691358024691357E-2"/>
          <c:y val="0.32444484748597435"/>
          <c:w val="0.95286195286195285"/>
          <c:h val="0.55961308824621336"/>
        </c:manualLayout>
      </c:layout>
      <c:barChart>
        <c:barDir val="bar"/>
        <c:grouping val="stacked"/>
        <c:varyColors val="0"/>
        <c:ser>
          <c:idx val="0"/>
          <c:order val="0"/>
          <c:invertIfNegative val="0"/>
          <c:dLbls>
            <c:dLbl>
              <c:idx val="0"/>
              <c:layout>
                <c:manualLayout>
                  <c:x val="0"/>
                  <c:y val="-4.7461140412725068E-2"/>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'2011 - Ciclo de Operação'!$B$16</c:f>
              <c:numCache>
                <c:formatCode>0</c:formatCode>
                <c:ptCount val="1"/>
                <c:pt idx="0">
                  <c:v>984</c:v>
                </c:pt>
              </c:numCache>
            </c:numRef>
          </c:val>
        </c:ser>
        <c:ser>
          <c:idx val="1"/>
          <c:order val="1"/>
          <c:invertIfNegative val="0"/>
          <c:dLbls>
            <c:dLbl>
              <c:idx val="0"/>
              <c:layout>
                <c:manualLayout>
                  <c:x val="-2.4523694813238547E-3"/>
                  <c:y val="-0.15820380137575021"/>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'2011 - Ciclo de Operação'!$I$16</c:f>
              <c:numCache>
                <c:formatCode>General</c:formatCode>
                <c:ptCount val="1"/>
                <c:pt idx="0">
                  <c:v>6</c:v>
                </c:pt>
              </c:numCache>
            </c:numRef>
          </c:val>
        </c:ser>
        <c:ser>
          <c:idx val="2"/>
          <c:order val="2"/>
          <c:invertIfNegative val="0"/>
          <c:dLbls>
            <c:dLbl>
              <c:idx val="0"/>
              <c:layout>
                <c:manualLayout>
                  <c:x val="0"/>
                  <c:y val="6.3281520550300091E-2"/>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'2011 - Ciclo de Operação'!$B$17</c:f>
              <c:numCache>
                <c:formatCode>0</c:formatCode>
                <c:ptCount val="1"/>
                <c:pt idx="0">
                  <c:v>24</c:v>
                </c:pt>
              </c:numCache>
            </c:numRef>
          </c:val>
        </c:ser>
        <c:ser>
          <c:idx val="3"/>
          <c:order val="3"/>
          <c:invertIfNegative val="0"/>
          <c:dLbls>
            <c:dLbl>
              <c:idx val="0"/>
              <c:layout>
                <c:manualLayout>
                  <c:x val="0"/>
                  <c:y val="-0.24521589213241282"/>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'2011 - Ciclo de Operação'!$I$17</c:f>
              <c:numCache>
                <c:formatCode>General</c:formatCode>
                <c:ptCount val="1"/>
                <c:pt idx="0">
                  <c:v>3</c:v>
                </c:pt>
              </c:numCache>
            </c:numRef>
          </c:val>
        </c:ser>
        <c:ser>
          <c:idx val="4"/>
          <c:order val="4"/>
          <c:invertIfNegative val="0"/>
          <c:dLbls>
            <c:dLbl>
              <c:idx val="0"/>
              <c:layout>
                <c:manualLayout>
                  <c:x val="1.1239896945152353E-17"/>
                  <c:y val="-3.9550950343937553E-2"/>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'2011 - Ciclo de Operação'!$B$18</c:f>
              <c:numCache>
                <c:formatCode>0</c:formatCode>
                <c:ptCount val="1"/>
                <c:pt idx="0">
                  <c:v>48</c:v>
                </c:pt>
              </c:numCache>
            </c:numRef>
          </c:val>
        </c:ser>
        <c:ser>
          <c:idx val="5"/>
          <c:order val="5"/>
          <c:invertIfNegative val="0"/>
          <c:dLbls>
            <c:dLbl>
              <c:idx val="0"/>
              <c:layout>
                <c:manualLayout>
                  <c:x val="0"/>
                  <c:y val="-0.15820380137575021"/>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'2011 - Ciclo de Operação'!$I$18</c:f>
              <c:numCache>
                <c:formatCode>General</c:formatCode>
                <c:ptCount val="1"/>
                <c:pt idx="0">
                  <c:v>2</c:v>
                </c:pt>
              </c:numCache>
            </c:numRef>
          </c:val>
        </c:ser>
        <c:ser>
          <c:idx val="6"/>
          <c:order val="6"/>
          <c:invertIfNegative val="0"/>
          <c:dLbls>
            <c:showLegendKey val="0"/>
            <c:showVal val="1"/>
            <c:showCatName val="0"/>
            <c:showSerName val="0"/>
            <c:showPercent val="0"/>
            <c:showBubbleSize val="0"/>
            <c:showLeaderLines val="0"/>
          </c:dLbls>
          <c:val>
            <c:numRef>
              <c:f>'2011 - Ciclo de Operação'!$B$19</c:f>
              <c:numCache>
                <c:formatCode>0</c:formatCode>
                <c:ptCount val="1"/>
                <c:pt idx="0">
                  <c:v>1368</c:v>
                </c:pt>
              </c:numCache>
            </c:numRef>
          </c:val>
        </c:ser>
        <c:ser>
          <c:idx val="7"/>
          <c:order val="7"/>
          <c:invertIfNegative val="0"/>
          <c:dLbls>
            <c:dLbl>
              <c:idx val="0"/>
              <c:layout>
                <c:manualLayout>
                  <c:x val="0"/>
                  <c:y val="-0.15820380137575021"/>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'2011 - Ciclo de Operação'!$I$19</c:f>
              <c:numCache>
                <c:formatCode>General</c:formatCode>
                <c:ptCount val="1"/>
                <c:pt idx="0">
                  <c:v>6</c:v>
                </c:pt>
              </c:numCache>
            </c:numRef>
          </c:val>
        </c:ser>
        <c:ser>
          <c:idx val="8"/>
          <c:order val="8"/>
          <c:invertIfNegative val="0"/>
          <c:dLbls>
            <c:showLegendKey val="0"/>
            <c:showVal val="1"/>
            <c:showCatName val="0"/>
            <c:showSerName val="0"/>
            <c:showPercent val="0"/>
            <c:showBubbleSize val="0"/>
            <c:showLeaderLines val="0"/>
          </c:dLbls>
          <c:val>
            <c:numRef>
              <c:f>'2011 - Ciclo de Operação'!$B$20</c:f>
              <c:numCache>
                <c:formatCode>0</c:formatCode>
                <c:ptCount val="1"/>
                <c:pt idx="0">
                  <c:v>864</c:v>
                </c:pt>
              </c:numCache>
            </c:numRef>
          </c:val>
        </c:ser>
        <c:ser>
          <c:idx val="9"/>
          <c:order val="9"/>
          <c:invertIfNegative val="0"/>
          <c:dLbls>
            <c:dLbl>
              <c:idx val="0"/>
              <c:layout>
                <c:manualLayout>
                  <c:x val="0"/>
                  <c:y val="-0.15820380137575021"/>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'2011 - Ciclo de Operação'!$I$20</c:f>
              <c:numCache>
                <c:formatCode>General</c:formatCode>
                <c:ptCount val="1"/>
                <c:pt idx="0">
                  <c:v>2</c:v>
                </c:pt>
              </c:numCache>
            </c:numRef>
          </c:val>
        </c:ser>
        <c:ser>
          <c:idx val="10"/>
          <c:order val="10"/>
          <c:invertIfNegative val="0"/>
          <c:dLbls>
            <c:showLegendKey val="0"/>
            <c:showVal val="1"/>
            <c:showCatName val="0"/>
            <c:showSerName val="0"/>
            <c:showPercent val="0"/>
            <c:showBubbleSize val="0"/>
            <c:showLeaderLines val="0"/>
          </c:dLbls>
          <c:val>
            <c:numRef>
              <c:f>'2011 - Ciclo de Operação'!$B$21</c:f>
              <c:numCache>
                <c:formatCode>0</c:formatCode>
                <c:ptCount val="1"/>
                <c:pt idx="0">
                  <c:v>0</c:v>
                </c:pt>
              </c:numCache>
            </c:numRef>
          </c:val>
        </c:ser>
        <c:ser>
          <c:idx val="11"/>
          <c:order val="11"/>
          <c:invertIfNegative val="0"/>
          <c:dLbls>
            <c:dLbl>
              <c:idx val="0"/>
              <c:layout>
                <c:manualLayout>
                  <c:x val="0"/>
                  <c:y val="-0.15820380137575021"/>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'2011 - Ciclo de Operação'!$I$21</c:f>
              <c:numCache>
                <c:formatCode>General</c:formatCode>
                <c:ptCount val="1"/>
                <c:pt idx="0">
                  <c:v>0.5</c:v>
                </c:pt>
              </c:numCache>
            </c:numRef>
          </c:val>
        </c:ser>
        <c:ser>
          <c:idx val="12"/>
          <c:order val="12"/>
          <c:invertIfNegative val="0"/>
          <c:dLbls>
            <c:showLegendKey val="0"/>
            <c:showVal val="1"/>
            <c:showCatName val="0"/>
            <c:showSerName val="0"/>
            <c:showPercent val="0"/>
            <c:showBubbleSize val="0"/>
            <c:showLeaderLines val="0"/>
          </c:dLbls>
          <c:val>
            <c:numRef>
              <c:f>'2011 - Ciclo de Operação'!$B$22</c:f>
              <c:numCache>
                <c:formatCode>0</c:formatCode>
                <c:ptCount val="1"/>
                <c:pt idx="0">
                  <c:v>168</c:v>
                </c:pt>
              </c:numCache>
            </c:numRef>
          </c:val>
        </c:ser>
        <c:ser>
          <c:idx val="13"/>
          <c:order val="13"/>
          <c:invertIfNegative val="0"/>
          <c:dLbls>
            <c:dLbl>
              <c:idx val="0"/>
              <c:layout>
                <c:manualLayout>
                  <c:x val="0"/>
                  <c:y val="-0.16611399144453773"/>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'2011 - Ciclo de Operação'!$I$22</c:f>
              <c:numCache>
                <c:formatCode>General</c:formatCode>
                <c:ptCount val="1"/>
                <c:pt idx="0">
                  <c:v>3</c:v>
                </c:pt>
              </c:numCache>
            </c:numRef>
          </c:val>
        </c:ser>
        <c:ser>
          <c:idx val="14"/>
          <c:order val="14"/>
          <c:invertIfNegative val="0"/>
          <c:dLbls>
            <c:showLegendKey val="0"/>
            <c:showVal val="1"/>
            <c:showCatName val="0"/>
            <c:showSerName val="0"/>
            <c:showPercent val="0"/>
            <c:showBubbleSize val="0"/>
            <c:showLeaderLines val="0"/>
          </c:dLbls>
          <c:val>
            <c:numRef>
              <c:f>'2011 - Ciclo de Operação'!$B$23</c:f>
              <c:numCache>
                <c:formatCode>0</c:formatCode>
                <c:ptCount val="1"/>
                <c:pt idx="0">
                  <c:v>1728</c:v>
                </c:pt>
              </c:numCache>
            </c:numRef>
          </c:val>
        </c:ser>
        <c:ser>
          <c:idx val="15"/>
          <c:order val="15"/>
          <c:invertIfNegative val="0"/>
          <c:dLbls>
            <c:dLbl>
              <c:idx val="0"/>
              <c:layout>
                <c:manualLayout>
                  <c:x val="-2.4608964522592871E-3"/>
                  <c:y val="-0.15820380137575021"/>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'2011 - Ciclo de Operação'!$I$23</c:f>
              <c:numCache>
                <c:formatCode>General</c:formatCode>
                <c:ptCount val="1"/>
                <c:pt idx="0">
                  <c:v>2</c:v>
                </c:pt>
              </c:numCache>
            </c:numRef>
          </c:val>
        </c:ser>
        <c:ser>
          <c:idx val="16"/>
          <c:order val="16"/>
          <c:invertIfNegative val="0"/>
          <c:dLbls>
            <c:showLegendKey val="0"/>
            <c:showVal val="1"/>
            <c:showCatName val="0"/>
            <c:showSerName val="0"/>
            <c:showPercent val="0"/>
            <c:showBubbleSize val="0"/>
            <c:showLeaderLines val="0"/>
          </c:dLbls>
          <c:val>
            <c:numRef>
              <c:f>'2011 - Ciclo de Operação'!$B$24</c:f>
              <c:numCache>
                <c:formatCode>0</c:formatCode>
                <c:ptCount val="1"/>
                <c:pt idx="0">
                  <c:v>3456</c:v>
                </c:pt>
              </c:numCache>
            </c:numRef>
          </c:val>
        </c:ser>
        <c:dLbls>
          <c:showLegendKey val="0"/>
          <c:showVal val="0"/>
          <c:showCatName val="0"/>
          <c:showSerName val="0"/>
          <c:showPercent val="0"/>
          <c:showBubbleSize val="0"/>
        </c:dLbls>
        <c:gapWidth val="150"/>
        <c:overlap val="100"/>
        <c:axId val="116382336"/>
        <c:axId val="116072832"/>
      </c:barChart>
      <c:catAx>
        <c:axId val="116382336"/>
        <c:scaling>
          <c:orientation val="minMax"/>
        </c:scaling>
        <c:delete val="1"/>
        <c:axPos val="l"/>
        <c:majorTickMark val="out"/>
        <c:minorTickMark val="none"/>
        <c:tickLblPos val="nextTo"/>
        <c:crossAx val="116072832"/>
        <c:crosses val="autoZero"/>
        <c:auto val="1"/>
        <c:lblAlgn val="ctr"/>
        <c:lblOffset val="100"/>
        <c:noMultiLvlLbl val="0"/>
      </c:catAx>
      <c:valAx>
        <c:axId val="116072832"/>
        <c:scaling>
          <c:orientation val="minMax"/>
        </c:scaling>
        <c:delete val="1"/>
        <c:axPos val="b"/>
        <c:numFmt formatCode="0" sourceLinked="1"/>
        <c:majorTickMark val="out"/>
        <c:minorTickMark val="none"/>
        <c:tickLblPos val="nextTo"/>
        <c:crossAx val="116382336"/>
        <c:crosses val="autoZero"/>
        <c:crossBetween val="between"/>
      </c:valAx>
      <c:spPr>
        <a:noFill/>
        <a:ln w="25400">
          <a:noFill/>
        </a:ln>
      </c:spPr>
    </c:plotArea>
    <c:plotVisOnly val="1"/>
    <c:dispBlanksAs val="gap"/>
    <c:showDLblsOverMax val="0"/>
  </c:chart>
  <c:printSettings>
    <c:headerFooter/>
    <c:pageMargins b="0.75" l="0.7" r="0.7" t="0.75" header="0.3" footer="0.3"/>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42"/>
    </mc:Choice>
    <mc:Fallback>
      <c:style val="42"/>
    </mc:Fallback>
  </mc:AlternateContent>
  <c:chart>
    <c:title>
      <c:tx>
        <c:rich>
          <a:bodyPr/>
          <a:lstStyle/>
          <a:p>
            <a:pPr>
              <a:defRPr/>
            </a:pPr>
            <a:r>
              <a:rPr lang="en-US"/>
              <a:t>Incinerador 2 - Alimentação</a:t>
            </a:r>
          </a:p>
        </c:rich>
      </c:tx>
      <c:layout/>
      <c:overlay val="0"/>
    </c:title>
    <c:autoTitleDeleted val="0"/>
    <c:plotArea>
      <c:layout>
        <c:manualLayout>
          <c:layoutTarget val="inner"/>
          <c:xMode val="edge"/>
          <c:yMode val="edge"/>
          <c:x val="2.4691358024691357E-2"/>
          <c:y val="0.32444484748597435"/>
          <c:w val="0.95286195286195285"/>
          <c:h val="0.55961308824621336"/>
        </c:manualLayout>
      </c:layout>
      <c:barChart>
        <c:barDir val="bar"/>
        <c:grouping val="stacked"/>
        <c:varyColors val="0"/>
        <c:ser>
          <c:idx val="0"/>
          <c:order val="0"/>
          <c:invertIfNegative val="0"/>
          <c:dLbls>
            <c:showLegendKey val="0"/>
            <c:showVal val="1"/>
            <c:showCatName val="0"/>
            <c:showSerName val="0"/>
            <c:showPercent val="0"/>
            <c:showBubbleSize val="0"/>
            <c:showLeaderLines val="0"/>
          </c:dLbls>
          <c:val>
            <c:numRef>
              <c:f>'2015 - Ciclo de Operação'!$B$13</c:f>
              <c:numCache>
                <c:formatCode>General</c:formatCode>
                <c:ptCount val="1"/>
                <c:pt idx="0">
                  <c:v>120</c:v>
                </c:pt>
              </c:numCache>
            </c:numRef>
          </c:val>
        </c:ser>
        <c:ser>
          <c:idx val="1"/>
          <c:order val="1"/>
          <c:invertIfNegative val="0"/>
          <c:dLbls>
            <c:dLbl>
              <c:idx val="0"/>
              <c:layout>
                <c:manualLayout>
                  <c:x val="0"/>
                  <c:y val="-0.17574026299070097"/>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'2015 - Ciclo de Operação'!$I$13</c:f>
              <c:numCache>
                <c:formatCode>General</c:formatCode>
                <c:ptCount val="1"/>
                <c:pt idx="0">
                  <c:v>1</c:v>
                </c:pt>
              </c:numCache>
            </c:numRef>
          </c:val>
        </c:ser>
        <c:ser>
          <c:idx val="2"/>
          <c:order val="2"/>
          <c:invertIfNegative val="0"/>
          <c:dLbls>
            <c:showLegendKey val="0"/>
            <c:showVal val="1"/>
            <c:showCatName val="0"/>
            <c:showSerName val="0"/>
            <c:showPercent val="0"/>
            <c:showBubbleSize val="0"/>
            <c:showLeaderLines val="0"/>
          </c:dLbls>
          <c:val>
            <c:numRef>
              <c:f>'2015 - Ciclo de Operação'!$B$14</c:f>
              <c:numCache>
                <c:formatCode>General</c:formatCode>
                <c:ptCount val="1"/>
                <c:pt idx="0">
                  <c:v>1800</c:v>
                </c:pt>
              </c:numCache>
            </c:numRef>
          </c:val>
        </c:ser>
        <c:ser>
          <c:idx val="3"/>
          <c:order val="3"/>
          <c:invertIfNegative val="0"/>
          <c:dLbls>
            <c:dLbl>
              <c:idx val="0"/>
              <c:layout>
                <c:manualLayout>
                  <c:x val="0"/>
                  <c:y val="-0.17574026299070106"/>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'2015 - Ciclo de Operação'!$I$14</c:f>
              <c:numCache>
                <c:formatCode>General</c:formatCode>
                <c:ptCount val="1"/>
                <c:pt idx="0">
                  <c:v>1.5</c:v>
                </c:pt>
              </c:numCache>
            </c:numRef>
          </c:val>
        </c:ser>
        <c:ser>
          <c:idx val="4"/>
          <c:order val="4"/>
          <c:invertIfNegative val="0"/>
          <c:dLbls>
            <c:showLegendKey val="0"/>
            <c:showVal val="1"/>
            <c:showCatName val="0"/>
            <c:showSerName val="0"/>
            <c:showPercent val="0"/>
            <c:showBubbleSize val="0"/>
            <c:showLeaderLines val="0"/>
          </c:dLbls>
          <c:val>
            <c:numRef>
              <c:f>'2015 - Ciclo de Operação'!$B$15</c:f>
              <c:numCache>
                <c:formatCode>General</c:formatCode>
                <c:ptCount val="1"/>
                <c:pt idx="0">
                  <c:v>3120</c:v>
                </c:pt>
              </c:numCache>
            </c:numRef>
          </c:val>
        </c:ser>
        <c:ser>
          <c:idx val="5"/>
          <c:order val="5"/>
          <c:invertIfNegative val="0"/>
          <c:dLbls>
            <c:dLbl>
              <c:idx val="0"/>
              <c:layout>
                <c:manualLayout>
                  <c:x val="0"/>
                  <c:y val="-0.17574026299070106"/>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'2015 - Ciclo de Operação'!$I$15</c:f>
              <c:numCache>
                <c:formatCode>General</c:formatCode>
                <c:ptCount val="1"/>
                <c:pt idx="0">
                  <c:v>2</c:v>
                </c:pt>
              </c:numCache>
            </c:numRef>
          </c:val>
        </c:ser>
        <c:ser>
          <c:idx val="6"/>
          <c:order val="6"/>
          <c:invertIfNegative val="0"/>
          <c:dLbls>
            <c:showLegendKey val="0"/>
            <c:showVal val="1"/>
            <c:showCatName val="0"/>
            <c:showSerName val="0"/>
            <c:showPercent val="0"/>
            <c:showBubbleSize val="0"/>
            <c:showLeaderLines val="0"/>
          </c:dLbls>
          <c:val>
            <c:numRef>
              <c:f>'2015 - Ciclo de Operação'!$B$16</c:f>
              <c:numCache>
                <c:formatCode>General</c:formatCode>
                <c:ptCount val="1"/>
                <c:pt idx="0">
                  <c:v>720</c:v>
                </c:pt>
              </c:numCache>
            </c:numRef>
          </c:val>
        </c:ser>
        <c:ser>
          <c:idx val="7"/>
          <c:order val="7"/>
          <c:invertIfNegative val="0"/>
          <c:dLbls>
            <c:dLbl>
              <c:idx val="0"/>
              <c:layout>
                <c:manualLayout>
                  <c:x val="0"/>
                  <c:y val="-0.1604585009915096"/>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'2015 - Ciclo de Operação'!$I$16</c:f>
              <c:numCache>
                <c:formatCode>General</c:formatCode>
                <c:ptCount val="1"/>
                <c:pt idx="0">
                  <c:v>0.75</c:v>
                </c:pt>
              </c:numCache>
            </c:numRef>
          </c:val>
        </c:ser>
        <c:ser>
          <c:idx val="8"/>
          <c:order val="8"/>
          <c:invertIfNegative val="0"/>
          <c:dLbls>
            <c:showLegendKey val="0"/>
            <c:showVal val="1"/>
            <c:showCatName val="0"/>
            <c:showSerName val="0"/>
            <c:showPercent val="0"/>
            <c:showBubbleSize val="0"/>
            <c:showLeaderLines val="0"/>
          </c:dLbls>
          <c:val>
            <c:numRef>
              <c:f>'2015 - Ciclo de Operação'!$B$17</c:f>
              <c:numCache>
                <c:formatCode>General</c:formatCode>
                <c:ptCount val="1"/>
                <c:pt idx="0">
                  <c:v>2880</c:v>
                </c:pt>
              </c:numCache>
            </c:numRef>
          </c:val>
        </c:ser>
        <c:dLbls>
          <c:showLegendKey val="0"/>
          <c:showVal val="0"/>
          <c:showCatName val="0"/>
          <c:showSerName val="0"/>
          <c:showPercent val="0"/>
          <c:showBubbleSize val="0"/>
        </c:dLbls>
        <c:gapWidth val="150"/>
        <c:overlap val="100"/>
        <c:axId val="108959616"/>
        <c:axId val="108961152"/>
      </c:barChart>
      <c:catAx>
        <c:axId val="108959616"/>
        <c:scaling>
          <c:orientation val="minMax"/>
        </c:scaling>
        <c:delete val="1"/>
        <c:axPos val="l"/>
        <c:majorTickMark val="out"/>
        <c:minorTickMark val="none"/>
        <c:tickLblPos val="nextTo"/>
        <c:crossAx val="108961152"/>
        <c:crosses val="autoZero"/>
        <c:auto val="1"/>
        <c:lblAlgn val="ctr"/>
        <c:lblOffset val="100"/>
        <c:noMultiLvlLbl val="0"/>
      </c:catAx>
      <c:valAx>
        <c:axId val="108961152"/>
        <c:scaling>
          <c:orientation val="minMax"/>
        </c:scaling>
        <c:delete val="1"/>
        <c:axPos val="b"/>
        <c:numFmt formatCode="General" sourceLinked="1"/>
        <c:majorTickMark val="out"/>
        <c:minorTickMark val="none"/>
        <c:tickLblPos val="nextTo"/>
        <c:crossAx val="108959616"/>
        <c:crosses val="autoZero"/>
        <c:crossBetween val="between"/>
      </c:valAx>
      <c:spPr>
        <a:noFill/>
        <a:ln w="25400">
          <a:noFill/>
        </a:ln>
      </c:spPr>
    </c:plotArea>
    <c:plotVisOnly val="1"/>
    <c:dispBlanksAs val="gap"/>
    <c:showDLblsOverMax val="0"/>
  </c:chart>
  <c:printSettings>
    <c:headerFooter/>
    <c:pageMargins b="0.75" l="0.7" r="0.7" t="0.75" header="0.3" footer="0.3"/>
    <c:pageSetup/>
  </c:printSettings>
  <c:userShapes r:id="rId1"/>
</c:chartSpace>
</file>

<file path=xl/charts/chart90.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42"/>
    </mc:Choice>
    <mc:Fallback>
      <c:style val="42"/>
    </mc:Fallback>
  </mc:AlternateContent>
  <c:chart>
    <c:title>
      <c:tx>
        <c:rich>
          <a:bodyPr/>
          <a:lstStyle/>
          <a:p>
            <a:pPr>
              <a:defRPr/>
            </a:pPr>
            <a:r>
              <a:rPr lang="en-US"/>
              <a:t>Incinerador 2 - Precipitador</a:t>
            </a:r>
          </a:p>
        </c:rich>
      </c:tx>
      <c:layout/>
      <c:overlay val="0"/>
    </c:title>
    <c:autoTitleDeleted val="0"/>
    <c:plotArea>
      <c:layout>
        <c:manualLayout>
          <c:layoutTarget val="inner"/>
          <c:xMode val="edge"/>
          <c:yMode val="edge"/>
          <c:x val="2.4691358024691357E-2"/>
          <c:y val="0.32444484748597435"/>
          <c:w val="0.95286195286195285"/>
          <c:h val="0.55961308824621336"/>
        </c:manualLayout>
      </c:layout>
      <c:barChart>
        <c:barDir val="bar"/>
        <c:grouping val="stacked"/>
        <c:varyColors val="0"/>
        <c:ser>
          <c:idx val="0"/>
          <c:order val="0"/>
          <c:invertIfNegative val="0"/>
          <c:dLbls>
            <c:showLegendKey val="0"/>
            <c:showVal val="1"/>
            <c:showCatName val="0"/>
            <c:showSerName val="0"/>
            <c:showPercent val="0"/>
            <c:showBubbleSize val="0"/>
            <c:showLeaderLines val="0"/>
          </c:dLbls>
          <c:val>
            <c:numRef>
              <c:f>'2011 - Ciclo de Operação'!$B$25</c:f>
              <c:numCache>
                <c:formatCode>0</c:formatCode>
                <c:ptCount val="1"/>
                <c:pt idx="0">
                  <c:v>1080</c:v>
                </c:pt>
              </c:numCache>
            </c:numRef>
          </c:val>
        </c:ser>
        <c:ser>
          <c:idx val="1"/>
          <c:order val="1"/>
          <c:invertIfNegative val="0"/>
          <c:dLbls>
            <c:dLbl>
              <c:idx val="0"/>
              <c:layout>
                <c:manualLayout>
                  <c:x val="0"/>
                  <c:y val="-0.1502936113069627"/>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'2011 - Ciclo de Operação'!$I$25</c:f>
              <c:numCache>
                <c:formatCode>General</c:formatCode>
                <c:ptCount val="1"/>
                <c:pt idx="0">
                  <c:v>2</c:v>
                </c:pt>
              </c:numCache>
            </c:numRef>
          </c:val>
        </c:ser>
        <c:ser>
          <c:idx val="2"/>
          <c:order val="2"/>
          <c:invertIfNegative val="0"/>
          <c:dLbls>
            <c:showLegendKey val="0"/>
            <c:showVal val="1"/>
            <c:showCatName val="0"/>
            <c:showSerName val="0"/>
            <c:showPercent val="0"/>
            <c:showBubbleSize val="0"/>
            <c:showLeaderLines val="0"/>
          </c:dLbls>
          <c:val>
            <c:numRef>
              <c:f>'2011 - Ciclo de Operação'!$B$26</c:f>
              <c:numCache>
                <c:formatCode>0</c:formatCode>
                <c:ptCount val="1"/>
                <c:pt idx="0">
                  <c:v>7560</c:v>
                </c:pt>
              </c:numCache>
            </c:numRef>
          </c:val>
        </c:ser>
        <c:dLbls>
          <c:showLegendKey val="0"/>
          <c:showVal val="0"/>
          <c:showCatName val="0"/>
          <c:showSerName val="0"/>
          <c:showPercent val="0"/>
          <c:showBubbleSize val="0"/>
        </c:dLbls>
        <c:gapWidth val="150"/>
        <c:overlap val="100"/>
        <c:axId val="116104576"/>
        <c:axId val="116122752"/>
      </c:barChart>
      <c:catAx>
        <c:axId val="116104576"/>
        <c:scaling>
          <c:orientation val="minMax"/>
        </c:scaling>
        <c:delete val="1"/>
        <c:axPos val="l"/>
        <c:majorTickMark val="out"/>
        <c:minorTickMark val="none"/>
        <c:tickLblPos val="nextTo"/>
        <c:crossAx val="116122752"/>
        <c:crosses val="autoZero"/>
        <c:auto val="1"/>
        <c:lblAlgn val="ctr"/>
        <c:lblOffset val="100"/>
        <c:noMultiLvlLbl val="0"/>
      </c:catAx>
      <c:valAx>
        <c:axId val="116122752"/>
        <c:scaling>
          <c:orientation val="minMax"/>
        </c:scaling>
        <c:delete val="1"/>
        <c:axPos val="b"/>
        <c:numFmt formatCode="0" sourceLinked="1"/>
        <c:majorTickMark val="out"/>
        <c:minorTickMark val="none"/>
        <c:tickLblPos val="nextTo"/>
        <c:crossAx val="116104576"/>
        <c:crosses val="autoZero"/>
        <c:crossBetween val="between"/>
      </c:valAx>
      <c:spPr>
        <a:noFill/>
        <a:ln w="25400">
          <a:noFill/>
        </a:ln>
      </c:spPr>
    </c:plotArea>
    <c:plotVisOnly val="1"/>
    <c:dispBlanksAs val="gap"/>
    <c:showDLblsOverMax val="0"/>
  </c:chart>
  <c:printSettings>
    <c:headerFooter/>
    <c:pageMargins b="0.75" l="0.7" r="0.7" t="0.75" header="0.3" footer="0.3"/>
    <c:pageSetup/>
  </c:printSettings>
  <c:userShapes r:id="rId1"/>
</c:chartSpace>
</file>

<file path=xl/charts/chart91.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42"/>
    </mc:Choice>
    <mc:Fallback>
      <c:style val="42"/>
    </mc:Fallback>
  </mc:AlternateContent>
  <c:chart>
    <c:title>
      <c:tx>
        <c:rich>
          <a:bodyPr/>
          <a:lstStyle/>
          <a:p>
            <a:pPr>
              <a:defRPr/>
            </a:pPr>
            <a:r>
              <a:rPr lang="en-US"/>
              <a:t>Incinerador 3 - Alimentação</a:t>
            </a:r>
          </a:p>
        </c:rich>
      </c:tx>
      <c:layout/>
      <c:overlay val="0"/>
    </c:title>
    <c:autoTitleDeleted val="0"/>
    <c:plotArea>
      <c:layout>
        <c:manualLayout>
          <c:layoutTarget val="inner"/>
          <c:xMode val="edge"/>
          <c:yMode val="edge"/>
          <c:x val="2.4691358024691357E-2"/>
          <c:y val="0.32444484748597435"/>
          <c:w val="0.95286195286195285"/>
          <c:h val="0.55961308824621336"/>
        </c:manualLayout>
      </c:layout>
      <c:barChart>
        <c:barDir val="bar"/>
        <c:grouping val="stacked"/>
        <c:varyColors val="0"/>
        <c:ser>
          <c:idx val="0"/>
          <c:order val="0"/>
          <c:invertIfNegative val="0"/>
          <c:dLbls>
            <c:showLegendKey val="0"/>
            <c:showVal val="1"/>
            <c:showCatName val="0"/>
            <c:showSerName val="0"/>
            <c:showPercent val="0"/>
            <c:showBubbleSize val="0"/>
            <c:showLeaderLines val="0"/>
          </c:dLbls>
          <c:val>
            <c:numRef>
              <c:f>'2011 - Ciclo de Operação'!$B$27</c:f>
              <c:numCache>
                <c:formatCode>0</c:formatCode>
                <c:ptCount val="1"/>
                <c:pt idx="0">
                  <c:v>1776</c:v>
                </c:pt>
              </c:numCache>
            </c:numRef>
          </c:val>
        </c:ser>
        <c:ser>
          <c:idx val="1"/>
          <c:order val="1"/>
          <c:invertIfNegative val="0"/>
          <c:dLbls>
            <c:dLbl>
              <c:idx val="0"/>
              <c:layout>
                <c:manualLayout>
                  <c:x val="0"/>
                  <c:y val="-0.16611399144453773"/>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'2011 - Ciclo de Operação'!$I$27</c:f>
              <c:numCache>
                <c:formatCode>General</c:formatCode>
                <c:ptCount val="1"/>
                <c:pt idx="0">
                  <c:v>2</c:v>
                </c:pt>
              </c:numCache>
            </c:numRef>
          </c:val>
        </c:ser>
        <c:ser>
          <c:idx val="2"/>
          <c:order val="2"/>
          <c:invertIfNegative val="0"/>
          <c:dLbls>
            <c:showLegendKey val="0"/>
            <c:showVal val="1"/>
            <c:showCatName val="0"/>
            <c:showSerName val="0"/>
            <c:showPercent val="0"/>
            <c:showBubbleSize val="0"/>
            <c:showLeaderLines val="0"/>
          </c:dLbls>
          <c:val>
            <c:numRef>
              <c:f>'2011 - Ciclo de Operação'!$B$28</c:f>
              <c:numCache>
                <c:formatCode>0</c:formatCode>
                <c:ptCount val="1"/>
                <c:pt idx="0">
                  <c:v>2376</c:v>
                </c:pt>
              </c:numCache>
            </c:numRef>
          </c:val>
        </c:ser>
        <c:ser>
          <c:idx val="3"/>
          <c:order val="3"/>
          <c:invertIfNegative val="0"/>
          <c:dLbls>
            <c:dLbl>
              <c:idx val="0"/>
              <c:layout>
                <c:manualLayout>
                  <c:x val="0"/>
                  <c:y val="-0.16611399144453773"/>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'2011 - Ciclo de Operação'!$I$28</c:f>
              <c:numCache>
                <c:formatCode>General</c:formatCode>
                <c:ptCount val="1"/>
                <c:pt idx="0">
                  <c:v>0.5</c:v>
                </c:pt>
              </c:numCache>
            </c:numRef>
          </c:val>
        </c:ser>
        <c:ser>
          <c:idx val="4"/>
          <c:order val="4"/>
          <c:invertIfNegative val="0"/>
          <c:dLbls>
            <c:showLegendKey val="0"/>
            <c:showVal val="1"/>
            <c:showCatName val="0"/>
            <c:showSerName val="0"/>
            <c:showPercent val="0"/>
            <c:showBubbleSize val="0"/>
            <c:showLeaderLines val="0"/>
          </c:dLbls>
          <c:val>
            <c:numRef>
              <c:f>'2011 - Ciclo de Operação'!$B$29</c:f>
              <c:numCache>
                <c:formatCode>0</c:formatCode>
                <c:ptCount val="1"/>
                <c:pt idx="0">
                  <c:v>2976</c:v>
                </c:pt>
              </c:numCache>
            </c:numRef>
          </c:val>
        </c:ser>
        <c:ser>
          <c:idx val="5"/>
          <c:order val="5"/>
          <c:invertIfNegative val="0"/>
          <c:dLbls>
            <c:dLbl>
              <c:idx val="0"/>
              <c:layout>
                <c:manualLayout>
                  <c:x val="0"/>
                  <c:y val="-0.16611399144453773"/>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'2011 - Ciclo de Operação'!$I$29</c:f>
              <c:numCache>
                <c:formatCode>General</c:formatCode>
                <c:ptCount val="1"/>
                <c:pt idx="0">
                  <c:v>3</c:v>
                </c:pt>
              </c:numCache>
            </c:numRef>
          </c:val>
        </c:ser>
        <c:ser>
          <c:idx val="6"/>
          <c:order val="6"/>
          <c:invertIfNegative val="0"/>
          <c:dLbls>
            <c:showLegendKey val="0"/>
            <c:showVal val="1"/>
            <c:showCatName val="0"/>
            <c:showSerName val="0"/>
            <c:showPercent val="0"/>
            <c:showBubbleSize val="0"/>
            <c:showLeaderLines val="0"/>
          </c:dLbls>
          <c:val>
            <c:numRef>
              <c:f>'2011 - Ciclo de Operação'!$B$30</c:f>
              <c:numCache>
                <c:formatCode>0</c:formatCode>
                <c:ptCount val="1"/>
                <c:pt idx="0">
                  <c:v>840</c:v>
                </c:pt>
              </c:numCache>
            </c:numRef>
          </c:val>
        </c:ser>
        <c:ser>
          <c:idx val="7"/>
          <c:order val="7"/>
          <c:invertIfNegative val="0"/>
          <c:dLbls>
            <c:dLbl>
              <c:idx val="0"/>
              <c:layout>
                <c:manualLayout>
                  <c:x val="0"/>
                  <c:y val="-0.15820380137575021"/>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'2011 - Ciclo de Operação'!$I$30</c:f>
              <c:numCache>
                <c:formatCode>General</c:formatCode>
                <c:ptCount val="1"/>
                <c:pt idx="0">
                  <c:v>0.5</c:v>
                </c:pt>
              </c:numCache>
            </c:numRef>
          </c:val>
        </c:ser>
        <c:ser>
          <c:idx val="8"/>
          <c:order val="8"/>
          <c:invertIfNegative val="0"/>
          <c:dLbls>
            <c:showLegendKey val="0"/>
            <c:showVal val="1"/>
            <c:showCatName val="0"/>
            <c:showSerName val="0"/>
            <c:showPercent val="0"/>
            <c:showBubbleSize val="0"/>
            <c:showLeaderLines val="0"/>
          </c:dLbls>
          <c:val>
            <c:numRef>
              <c:f>'2011 - Ciclo de Operação'!$B$31</c:f>
              <c:numCache>
                <c:formatCode>0</c:formatCode>
                <c:ptCount val="1"/>
                <c:pt idx="0">
                  <c:v>672</c:v>
                </c:pt>
              </c:numCache>
            </c:numRef>
          </c:val>
        </c:ser>
        <c:dLbls>
          <c:showLegendKey val="0"/>
          <c:showVal val="0"/>
          <c:showCatName val="0"/>
          <c:showSerName val="0"/>
          <c:showPercent val="0"/>
          <c:showBubbleSize val="0"/>
        </c:dLbls>
        <c:gapWidth val="150"/>
        <c:overlap val="100"/>
        <c:axId val="116276608"/>
        <c:axId val="116282496"/>
      </c:barChart>
      <c:catAx>
        <c:axId val="116276608"/>
        <c:scaling>
          <c:orientation val="minMax"/>
        </c:scaling>
        <c:delete val="1"/>
        <c:axPos val="l"/>
        <c:majorTickMark val="out"/>
        <c:minorTickMark val="none"/>
        <c:tickLblPos val="nextTo"/>
        <c:crossAx val="116282496"/>
        <c:crosses val="autoZero"/>
        <c:auto val="1"/>
        <c:lblAlgn val="ctr"/>
        <c:lblOffset val="100"/>
        <c:noMultiLvlLbl val="0"/>
      </c:catAx>
      <c:valAx>
        <c:axId val="116282496"/>
        <c:scaling>
          <c:orientation val="minMax"/>
        </c:scaling>
        <c:delete val="1"/>
        <c:axPos val="b"/>
        <c:numFmt formatCode="0" sourceLinked="1"/>
        <c:majorTickMark val="out"/>
        <c:minorTickMark val="none"/>
        <c:tickLblPos val="nextTo"/>
        <c:crossAx val="116276608"/>
        <c:crosses val="autoZero"/>
        <c:crossBetween val="between"/>
      </c:valAx>
      <c:spPr>
        <a:noFill/>
        <a:ln w="25400">
          <a:noFill/>
        </a:ln>
      </c:spPr>
    </c:plotArea>
    <c:plotVisOnly val="1"/>
    <c:dispBlanksAs val="gap"/>
    <c:showDLblsOverMax val="0"/>
  </c:chart>
  <c:printSettings>
    <c:headerFooter/>
    <c:pageMargins b="0.75" l="0.7" r="0.7" t="0.75" header="0.3" footer="0.3"/>
    <c:pageSetup/>
  </c:printSettings>
  <c:userShapes r:id="rId1"/>
</c:chartSpace>
</file>

<file path=xl/charts/chart92.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42"/>
    </mc:Choice>
    <mc:Fallback>
      <c:style val="42"/>
    </mc:Fallback>
  </mc:AlternateContent>
  <c:chart>
    <c:title>
      <c:tx>
        <c:rich>
          <a:bodyPr/>
          <a:lstStyle/>
          <a:p>
            <a:pPr>
              <a:defRPr/>
            </a:pPr>
            <a:r>
              <a:rPr lang="en-US"/>
              <a:t>Incinerador 3 - Chaminé</a:t>
            </a:r>
          </a:p>
        </c:rich>
      </c:tx>
      <c:layout/>
      <c:overlay val="0"/>
    </c:title>
    <c:autoTitleDeleted val="0"/>
    <c:plotArea>
      <c:layout>
        <c:manualLayout>
          <c:layoutTarget val="inner"/>
          <c:xMode val="edge"/>
          <c:yMode val="edge"/>
          <c:x val="2.4691358024691357E-2"/>
          <c:y val="0.32444484748597435"/>
          <c:w val="0.95286195286195285"/>
          <c:h val="0.55961308824621336"/>
        </c:manualLayout>
      </c:layout>
      <c:barChart>
        <c:barDir val="bar"/>
        <c:grouping val="stacked"/>
        <c:varyColors val="0"/>
        <c:ser>
          <c:idx val="0"/>
          <c:order val="0"/>
          <c:invertIfNegative val="0"/>
          <c:dLbls>
            <c:dLbl>
              <c:idx val="0"/>
              <c:layout>
                <c:manualLayout>
                  <c:x val="0"/>
                  <c:y val="-6.3281520550300091E-2"/>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'2011 - Ciclo de Operação'!$B$32</c:f>
              <c:numCache>
                <c:formatCode>0</c:formatCode>
                <c:ptCount val="1"/>
                <c:pt idx="0">
                  <c:v>480</c:v>
                </c:pt>
              </c:numCache>
            </c:numRef>
          </c:val>
        </c:ser>
        <c:ser>
          <c:idx val="1"/>
          <c:order val="1"/>
          <c:invertIfNegative val="0"/>
          <c:dLbls>
            <c:dLbl>
              <c:idx val="0"/>
              <c:layout>
                <c:manualLayout>
                  <c:x val="-1.9393251110391696E-7"/>
                  <c:y val="-0.15820380137575021"/>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'2011 - Ciclo de Operação'!$I$32</c:f>
              <c:numCache>
                <c:formatCode>General</c:formatCode>
                <c:ptCount val="1"/>
                <c:pt idx="0">
                  <c:v>1</c:v>
                </c:pt>
              </c:numCache>
            </c:numRef>
          </c:val>
        </c:ser>
        <c:ser>
          <c:idx val="2"/>
          <c:order val="2"/>
          <c:invertIfNegative val="0"/>
          <c:dLbls>
            <c:dLbl>
              <c:idx val="0"/>
              <c:layout>
                <c:manualLayout>
                  <c:x val="0"/>
                  <c:y val="4.7461140412725068E-2"/>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'2011 - Ciclo de Operação'!$B$33</c:f>
              <c:numCache>
                <c:formatCode>0</c:formatCode>
                <c:ptCount val="1"/>
                <c:pt idx="0">
                  <c:v>24</c:v>
                </c:pt>
              </c:numCache>
            </c:numRef>
          </c:val>
        </c:ser>
        <c:ser>
          <c:idx val="3"/>
          <c:order val="3"/>
          <c:invertIfNegative val="0"/>
          <c:dLbls>
            <c:dLbl>
              <c:idx val="0"/>
              <c:layout>
                <c:manualLayout>
                  <c:x val="0"/>
                  <c:y val="-0.15820380137575021"/>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'2011 - Ciclo de Operação'!$I$33</c:f>
              <c:numCache>
                <c:formatCode>General</c:formatCode>
                <c:ptCount val="1"/>
                <c:pt idx="0">
                  <c:v>1</c:v>
                </c:pt>
              </c:numCache>
            </c:numRef>
          </c:val>
        </c:ser>
        <c:ser>
          <c:idx val="4"/>
          <c:order val="4"/>
          <c:invertIfNegative val="0"/>
          <c:dLbls>
            <c:showLegendKey val="0"/>
            <c:showVal val="1"/>
            <c:showCatName val="0"/>
            <c:showSerName val="0"/>
            <c:showPercent val="0"/>
            <c:showBubbleSize val="0"/>
            <c:showLeaderLines val="0"/>
          </c:dLbls>
          <c:val>
            <c:numRef>
              <c:f>'2011 - Ciclo de Operação'!$B$34</c:f>
              <c:numCache>
                <c:formatCode>0</c:formatCode>
                <c:ptCount val="1"/>
                <c:pt idx="0">
                  <c:v>816</c:v>
                </c:pt>
              </c:numCache>
            </c:numRef>
          </c:val>
        </c:ser>
        <c:ser>
          <c:idx val="5"/>
          <c:order val="5"/>
          <c:invertIfNegative val="0"/>
          <c:dLbls>
            <c:dLbl>
              <c:idx val="0"/>
              <c:layout>
                <c:manualLayout>
                  <c:x val="-2.4629428909480416E-3"/>
                  <c:y val="-0.15820380137575021"/>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'2011 - Ciclo de Operação'!$I$34</c:f>
              <c:numCache>
                <c:formatCode>General</c:formatCode>
                <c:ptCount val="1"/>
                <c:pt idx="0">
                  <c:v>8</c:v>
                </c:pt>
              </c:numCache>
            </c:numRef>
          </c:val>
        </c:ser>
        <c:ser>
          <c:idx val="6"/>
          <c:order val="6"/>
          <c:invertIfNegative val="0"/>
          <c:dLbls>
            <c:showLegendKey val="0"/>
            <c:showVal val="1"/>
            <c:showCatName val="0"/>
            <c:showSerName val="0"/>
            <c:showPercent val="0"/>
            <c:showBubbleSize val="0"/>
            <c:showLeaderLines val="0"/>
          </c:dLbls>
          <c:val>
            <c:numRef>
              <c:f>'2011 - Ciclo de Operação'!$B$35</c:f>
              <c:numCache>
                <c:formatCode>0</c:formatCode>
                <c:ptCount val="1"/>
                <c:pt idx="0">
                  <c:v>144</c:v>
                </c:pt>
              </c:numCache>
            </c:numRef>
          </c:val>
        </c:ser>
        <c:ser>
          <c:idx val="7"/>
          <c:order val="7"/>
          <c:invertIfNegative val="0"/>
          <c:dLbls>
            <c:dLbl>
              <c:idx val="0"/>
              <c:layout>
                <c:manualLayout>
                  <c:x val="-2.4629428909480641E-3"/>
                  <c:y val="-0.1502936113069627"/>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'2011 - Ciclo de Operação'!$I$35</c:f>
              <c:numCache>
                <c:formatCode>General</c:formatCode>
                <c:ptCount val="1"/>
                <c:pt idx="0">
                  <c:v>4</c:v>
                </c:pt>
              </c:numCache>
            </c:numRef>
          </c:val>
        </c:ser>
        <c:ser>
          <c:idx val="8"/>
          <c:order val="8"/>
          <c:invertIfNegative val="0"/>
          <c:dLbls>
            <c:showLegendKey val="0"/>
            <c:showVal val="1"/>
            <c:showCatName val="0"/>
            <c:showSerName val="0"/>
            <c:showPercent val="0"/>
            <c:showBubbleSize val="0"/>
            <c:showLeaderLines val="0"/>
          </c:dLbls>
          <c:val>
            <c:numRef>
              <c:f>'2011 - Ciclo de Operação'!$B$36</c:f>
              <c:numCache>
                <c:formatCode>0</c:formatCode>
                <c:ptCount val="1"/>
                <c:pt idx="0">
                  <c:v>360</c:v>
                </c:pt>
              </c:numCache>
            </c:numRef>
          </c:val>
        </c:ser>
        <c:ser>
          <c:idx val="9"/>
          <c:order val="9"/>
          <c:invertIfNegative val="0"/>
          <c:dLbls>
            <c:dLbl>
              <c:idx val="0"/>
              <c:layout>
                <c:manualLayout>
                  <c:x val="0"/>
                  <c:y val="-0.15820380137575021"/>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'2011 - Ciclo de Operação'!$I$36</c:f>
              <c:numCache>
                <c:formatCode>General</c:formatCode>
                <c:ptCount val="1"/>
                <c:pt idx="0">
                  <c:v>0.5</c:v>
                </c:pt>
              </c:numCache>
            </c:numRef>
          </c:val>
        </c:ser>
        <c:ser>
          <c:idx val="10"/>
          <c:order val="10"/>
          <c:invertIfNegative val="0"/>
          <c:dLbls>
            <c:showLegendKey val="0"/>
            <c:showVal val="1"/>
            <c:showCatName val="0"/>
            <c:showSerName val="0"/>
            <c:showPercent val="0"/>
            <c:showBubbleSize val="0"/>
            <c:showLeaderLines val="0"/>
          </c:dLbls>
          <c:val>
            <c:numRef>
              <c:f>'2011 - Ciclo de Operação'!$B$37</c:f>
              <c:numCache>
                <c:formatCode>0</c:formatCode>
                <c:ptCount val="1"/>
                <c:pt idx="0">
                  <c:v>6816</c:v>
                </c:pt>
              </c:numCache>
            </c:numRef>
          </c:val>
        </c:ser>
        <c:dLbls>
          <c:showLegendKey val="0"/>
          <c:showVal val="0"/>
          <c:showCatName val="0"/>
          <c:showSerName val="0"/>
          <c:showPercent val="0"/>
          <c:showBubbleSize val="0"/>
        </c:dLbls>
        <c:gapWidth val="150"/>
        <c:overlap val="100"/>
        <c:axId val="116692864"/>
        <c:axId val="116694400"/>
      </c:barChart>
      <c:catAx>
        <c:axId val="116692864"/>
        <c:scaling>
          <c:orientation val="minMax"/>
        </c:scaling>
        <c:delete val="1"/>
        <c:axPos val="l"/>
        <c:majorTickMark val="out"/>
        <c:minorTickMark val="none"/>
        <c:tickLblPos val="nextTo"/>
        <c:crossAx val="116694400"/>
        <c:crosses val="autoZero"/>
        <c:auto val="1"/>
        <c:lblAlgn val="ctr"/>
        <c:lblOffset val="100"/>
        <c:noMultiLvlLbl val="0"/>
      </c:catAx>
      <c:valAx>
        <c:axId val="116694400"/>
        <c:scaling>
          <c:orientation val="minMax"/>
        </c:scaling>
        <c:delete val="1"/>
        <c:axPos val="b"/>
        <c:numFmt formatCode="0" sourceLinked="1"/>
        <c:majorTickMark val="out"/>
        <c:minorTickMark val="none"/>
        <c:tickLblPos val="nextTo"/>
        <c:crossAx val="116692864"/>
        <c:crosses val="autoZero"/>
        <c:crossBetween val="between"/>
      </c:valAx>
      <c:spPr>
        <a:noFill/>
        <a:ln w="25400">
          <a:noFill/>
        </a:ln>
      </c:spPr>
    </c:plotArea>
    <c:plotVisOnly val="1"/>
    <c:dispBlanksAs val="gap"/>
    <c:showDLblsOverMax val="0"/>
  </c:chart>
  <c:printSettings>
    <c:headerFooter/>
    <c:pageMargins b="0.75" l="0.7" r="0.7" t="0.75" header="0.3" footer="0.3"/>
    <c:pageSetup/>
  </c:printSettings>
  <c:userShapes r:id="rId1"/>
</c:chartSpace>
</file>

<file path=xl/charts/chart93.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42"/>
    </mc:Choice>
    <mc:Fallback>
      <c:style val="42"/>
    </mc:Fallback>
  </mc:AlternateContent>
  <c:chart>
    <c:title>
      <c:tx>
        <c:rich>
          <a:bodyPr/>
          <a:lstStyle/>
          <a:p>
            <a:pPr>
              <a:defRPr/>
            </a:pPr>
            <a:r>
              <a:rPr lang="en-US"/>
              <a:t>Incinerador 3 - Precipitador</a:t>
            </a:r>
          </a:p>
        </c:rich>
      </c:tx>
      <c:layout/>
      <c:overlay val="0"/>
    </c:title>
    <c:autoTitleDeleted val="0"/>
    <c:plotArea>
      <c:layout>
        <c:manualLayout>
          <c:layoutTarget val="inner"/>
          <c:xMode val="edge"/>
          <c:yMode val="edge"/>
          <c:x val="2.4691358024691357E-2"/>
          <c:y val="0.32444484748597435"/>
          <c:w val="0.95286195286195285"/>
          <c:h val="0.55961308824621336"/>
        </c:manualLayout>
      </c:layout>
      <c:barChart>
        <c:barDir val="bar"/>
        <c:grouping val="stacked"/>
        <c:varyColors val="0"/>
        <c:ser>
          <c:idx val="0"/>
          <c:order val="0"/>
          <c:invertIfNegative val="0"/>
          <c:dLbls>
            <c:showLegendKey val="0"/>
            <c:showVal val="1"/>
            <c:showCatName val="0"/>
            <c:showSerName val="0"/>
            <c:showPercent val="0"/>
            <c:showBubbleSize val="0"/>
            <c:showLeaderLines val="0"/>
          </c:dLbls>
          <c:val>
            <c:numRef>
              <c:f>'2011 - Ciclo de Operação'!$B$38</c:f>
              <c:numCache>
                <c:formatCode>0</c:formatCode>
                <c:ptCount val="1"/>
                <c:pt idx="0">
                  <c:v>7080</c:v>
                </c:pt>
              </c:numCache>
            </c:numRef>
          </c:val>
        </c:ser>
        <c:ser>
          <c:idx val="1"/>
          <c:order val="1"/>
          <c:invertIfNegative val="0"/>
          <c:dLbls>
            <c:dLbl>
              <c:idx val="0"/>
              <c:layout>
                <c:manualLayout>
                  <c:x val="0"/>
                  <c:y val="-0.15820380137575021"/>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'2011 - Ciclo de Operação'!$I$38</c:f>
              <c:numCache>
                <c:formatCode>General</c:formatCode>
                <c:ptCount val="1"/>
                <c:pt idx="0">
                  <c:v>3</c:v>
                </c:pt>
              </c:numCache>
            </c:numRef>
          </c:val>
        </c:ser>
        <c:ser>
          <c:idx val="2"/>
          <c:order val="2"/>
          <c:invertIfNegative val="0"/>
          <c:dLbls>
            <c:showLegendKey val="0"/>
            <c:showVal val="1"/>
            <c:showCatName val="0"/>
            <c:showSerName val="0"/>
            <c:showPercent val="0"/>
            <c:showBubbleSize val="0"/>
            <c:showLeaderLines val="0"/>
          </c:dLbls>
          <c:val>
            <c:numRef>
              <c:f>'2011 - Ciclo de Operação'!$B$39</c:f>
              <c:numCache>
                <c:formatCode>0</c:formatCode>
                <c:ptCount val="1"/>
                <c:pt idx="0">
                  <c:v>1560</c:v>
                </c:pt>
              </c:numCache>
            </c:numRef>
          </c:val>
        </c:ser>
        <c:dLbls>
          <c:showLegendKey val="0"/>
          <c:showVal val="0"/>
          <c:showCatName val="0"/>
          <c:showSerName val="0"/>
          <c:showPercent val="0"/>
          <c:showBubbleSize val="0"/>
        </c:dLbls>
        <c:gapWidth val="150"/>
        <c:overlap val="100"/>
        <c:axId val="116415104"/>
        <c:axId val="116425088"/>
      </c:barChart>
      <c:catAx>
        <c:axId val="116415104"/>
        <c:scaling>
          <c:orientation val="minMax"/>
        </c:scaling>
        <c:delete val="1"/>
        <c:axPos val="l"/>
        <c:majorTickMark val="out"/>
        <c:minorTickMark val="none"/>
        <c:tickLblPos val="nextTo"/>
        <c:crossAx val="116425088"/>
        <c:crosses val="autoZero"/>
        <c:auto val="1"/>
        <c:lblAlgn val="ctr"/>
        <c:lblOffset val="100"/>
        <c:noMultiLvlLbl val="0"/>
      </c:catAx>
      <c:valAx>
        <c:axId val="116425088"/>
        <c:scaling>
          <c:orientation val="minMax"/>
        </c:scaling>
        <c:delete val="1"/>
        <c:axPos val="b"/>
        <c:numFmt formatCode="0" sourceLinked="1"/>
        <c:majorTickMark val="out"/>
        <c:minorTickMark val="none"/>
        <c:tickLblPos val="nextTo"/>
        <c:crossAx val="116415104"/>
        <c:crosses val="autoZero"/>
        <c:crossBetween val="between"/>
      </c:valAx>
      <c:spPr>
        <a:noFill/>
        <a:ln w="25400">
          <a:noFill/>
        </a:ln>
      </c:spPr>
    </c:plotArea>
    <c:plotVisOnly val="1"/>
    <c:dispBlanksAs val="gap"/>
    <c:showDLblsOverMax val="0"/>
  </c:chart>
  <c:printSettings>
    <c:headerFooter/>
    <c:pageMargins b="0.75" l="0.7" r="0.7" t="0.75" header="0.3" footer="0.3"/>
    <c:pageSetup/>
  </c:printSettings>
  <c:userShapes r:id="rId1"/>
</c:chartSpace>
</file>

<file path=xl/charts/chart94.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42"/>
    </mc:Choice>
    <mc:Fallback>
      <c:style val="42"/>
    </mc:Fallback>
  </mc:AlternateContent>
  <c:chart>
    <c:title>
      <c:tx>
        <c:rich>
          <a:bodyPr/>
          <a:lstStyle/>
          <a:p>
            <a:pPr>
              <a:defRPr/>
            </a:pPr>
            <a:r>
              <a:rPr lang="en-US"/>
              <a:t>Incinerador 3 - Calcinador</a:t>
            </a:r>
          </a:p>
        </c:rich>
      </c:tx>
      <c:layout/>
      <c:overlay val="0"/>
    </c:title>
    <c:autoTitleDeleted val="0"/>
    <c:plotArea>
      <c:layout>
        <c:manualLayout>
          <c:layoutTarget val="inner"/>
          <c:xMode val="edge"/>
          <c:yMode val="edge"/>
          <c:x val="2.4691358024691357E-2"/>
          <c:y val="0.32444484748597435"/>
          <c:w val="0.95286195286195285"/>
          <c:h val="0.55961308824621336"/>
        </c:manualLayout>
      </c:layout>
      <c:barChart>
        <c:barDir val="bar"/>
        <c:grouping val="stacked"/>
        <c:varyColors val="0"/>
        <c:ser>
          <c:idx val="0"/>
          <c:order val="0"/>
          <c:invertIfNegative val="0"/>
          <c:dLbls>
            <c:showLegendKey val="0"/>
            <c:showVal val="1"/>
            <c:showCatName val="0"/>
            <c:showSerName val="0"/>
            <c:showPercent val="0"/>
            <c:showBubbleSize val="0"/>
            <c:showLeaderLines val="0"/>
          </c:dLbls>
          <c:val>
            <c:numRef>
              <c:f>'2011 - Ciclo de Operação'!$B$40</c:f>
              <c:numCache>
                <c:formatCode>0</c:formatCode>
                <c:ptCount val="1"/>
                <c:pt idx="0">
                  <c:v>1872</c:v>
                </c:pt>
              </c:numCache>
            </c:numRef>
          </c:val>
        </c:ser>
        <c:ser>
          <c:idx val="1"/>
          <c:order val="1"/>
          <c:invertIfNegative val="0"/>
          <c:dLbls>
            <c:dLbl>
              <c:idx val="0"/>
              <c:layout>
                <c:manualLayout>
                  <c:x val="0"/>
                  <c:y val="-0.15820380137575021"/>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'2011 - Ciclo de Operação'!$I$40</c:f>
              <c:numCache>
                <c:formatCode>General</c:formatCode>
                <c:ptCount val="1"/>
                <c:pt idx="0">
                  <c:v>5</c:v>
                </c:pt>
              </c:numCache>
            </c:numRef>
          </c:val>
        </c:ser>
        <c:ser>
          <c:idx val="2"/>
          <c:order val="2"/>
          <c:invertIfNegative val="0"/>
          <c:dLbls>
            <c:showLegendKey val="0"/>
            <c:showVal val="1"/>
            <c:showCatName val="0"/>
            <c:showSerName val="0"/>
            <c:showPercent val="0"/>
            <c:showBubbleSize val="0"/>
            <c:showLeaderLines val="0"/>
          </c:dLbls>
          <c:val>
            <c:numRef>
              <c:f>'2011 - Ciclo de Operação'!$B$41</c:f>
              <c:numCache>
                <c:formatCode>0</c:formatCode>
                <c:ptCount val="1"/>
                <c:pt idx="0">
                  <c:v>6768</c:v>
                </c:pt>
              </c:numCache>
            </c:numRef>
          </c:val>
        </c:ser>
        <c:dLbls>
          <c:showLegendKey val="0"/>
          <c:showVal val="0"/>
          <c:showCatName val="0"/>
          <c:showSerName val="0"/>
          <c:showPercent val="0"/>
          <c:showBubbleSize val="0"/>
        </c:dLbls>
        <c:gapWidth val="150"/>
        <c:overlap val="100"/>
        <c:axId val="116538752"/>
        <c:axId val="116561024"/>
      </c:barChart>
      <c:catAx>
        <c:axId val="116538752"/>
        <c:scaling>
          <c:orientation val="minMax"/>
        </c:scaling>
        <c:delete val="1"/>
        <c:axPos val="l"/>
        <c:majorTickMark val="out"/>
        <c:minorTickMark val="none"/>
        <c:tickLblPos val="nextTo"/>
        <c:crossAx val="116561024"/>
        <c:crosses val="autoZero"/>
        <c:auto val="1"/>
        <c:lblAlgn val="ctr"/>
        <c:lblOffset val="100"/>
        <c:noMultiLvlLbl val="0"/>
      </c:catAx>
      <c:valAx>
        <c:axId val="116561024"/>
        <c:scaling>
          <c:orientation val="minMax"/>
        </c:scaling>
        <c:delete val="1"/>
        <c:axPos val="b"/>
        <c:numFmt formatCode="0" sourceLinked="1"/>
        <c:majorTickMark val="out"/>
        <c:minorTickMark val="none"/>
        <c:tickLblPos val="nextTo"/>
        <c:crossAx val="116538752"/>
        <c:crosses val="autoZero"/>
        <c:crossBetween val="between"/>
      </c:valAx>
      <c:spPr>
        <a:noFill/>
        <a:ln w="25400">
          <a:noFill/>
        </a:ln>
      </c:spPr>
    </c:plotArea>
    <c:plotVisOnly val="1"/>
    <c:dispBlanksAs val="gap"/>
    <c:showDLblsOverMax val="0"/>
  </c:chart>
  <c:printSettings>
    <c:headerFooter/>
    <c:pageMargins b="0.75" l="0.7" r="0.7" t="0.75" header="0.3" footer="0.3"/>
    <c:pageSetup/>
  </c:printSettings>
  <c:userShapes r:id="rId1"/>
</c:chartSpace>
</file>

<file path=xl/charts/chart95.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42"/>
    </mc:Choice>
    <mc:Fallback>
      <c:style val="42"/>
    </mc:Fallback>
  </mc:AlternateContent>
  <c:chart>
    <c:title>
      <c:tx>
        <c:rich>
          <a:bodyPr/>
          <a:lstStyle/>
          <a:p>
            <a:pPr>
              <a:defRPr/>
            </a:pPr>
            <a:r>
              <a:rPr lang="en-US"/>
              <a:t>Incinerador 3 - Aquecedor</a:t>
            </a:r>
          </a:p>
        </c:rich>
      </c:tx>
      <c:layout/>
      <c:overlay val="0"/>
    </c:title>
    <c:autoTitleDeleted val="0"/>
    <c:plotArea>
      <c:layout>
        <c:manualLayout>
          <c:layoutTarget val="inner"/>
          <c:xMode val="edge"/>
          <c:yMode val="edge"/>
          <c:x val="2.4691358024691357E-2"/>
          <c:y val="0.32444484748597435"/>
          <c:w val="0.95286195286195285"/>
          <c:h val="0.55961308824621336"/>
        </c:manualLayout>
      </c:layout>
      <c:barChart>
        <c:barDir val="bar"/>
        <c:grouping val="stacked"/>
        <c:varyColors val="0"/>
        <c:ser>
          <c:idx val="0"/>
          <c:order val="0"/>
          <c:invertIfNegative val="0"/>
          <c:dLbls>
            <c:showLegendKey val="0"/>
            <c:showVal val="1"/>
            <c:showCatName val="0"/>
            <c:showSerName val="0"/>
            <c:showPercent val="0"/>
            <c:showBubbleSize val="0"/>
            <c:showLeaderLines val="0"/>
          </c:dLbls>
          <c:val>
            <c:numRef>
              <c:f>'2011 - Ciclo de Operação'!$B$42</c:f>
              <c:numCache>
                <c:formatCode>0</c:formatCode>
                <c:ptCount val="1"/>
                <c:pt idx="0">
                  <c:v>5064</c:v>
                </c:pt>
              </c:numCache>
            </c:numRef>
          </c:val>
        </c:ser>
        <c:ser>
          <c:idx val="1"/>
          <c:order val="1"/>
          <c:invertIfNegative val="0"/>
          <c:dLbls>
            <c:dLbl>
              <c:idx val="0"/>
              <c:layout>
                <c:manualLayout>
                  <c:x val="0"/>
                  <c:y val="-0.15820380137575021"/>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'2011 - Ciclo de Operação'!$I$42</c:f>
              <c:numCache>
                <c:formatCode>General</c:formatCode>
                <c:ptCount val="1"/>
                <c:pt idx="0">
                  <c:v>1</c:v>
                </c:pt>
              </c:numCache>
            </c:numRef>
          </c:val>
        </c:ser>
        <c:ser>
          <c:idx val="2"/>
          <c:order val="2"/>
          <c:invertIfNegative val="0"/>
          <c:dLbls>
            <c:showLegendKey val="0"/>
            <c:showVal val="1"/>
            <c:showCatName val="0"/>
            <c:showSerName val="0"/>
            <c:showPercent val="0"/>
            <c:showBubbleSize val="0"/>
            <c:showLeaderLines val="0"/>
          </c:dLbls>
          <c:val>
            <c:numRef>
              <c:f>'2011 - Ciclo de Operação'!$B$43</c:f>
              <c:numCache>
                <c:formatCode>0</c:formatCode>
                <c:ptCount val="1"/>
                <c:pt idx="0">
                  <c:v>528</c:v>
                </c:pt>
              </c:numCache>
            </c:numRef>
          </c:val>
        </c:ser>
        <c:ser>
          <c:idx val="3"/>
          <c:order val="3"/>
          <c:invertIfNegative val="0"/>
          <c:dLbls>
            <c:dLbl>
              <c:idx val="0"/>
              <c:layout>
                <c:manualLayout>
                  <c:x val="0"/>
                  <c:y val="-0.15820380137575021"/>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'2011 - Ciclo de Operação'!$I$43</c:f>
              <c:numCache>
                <c:formatCode>General</c:formatCode>
                <c:ptCount val="1"/>
                <c:pt idx="0">
                  <c:v>1</c:v>
                </c:pt>
              </c:numCache>
            </c:numRef>
          </c:val>
        </c:ser>
        <c:ser>
          <c:idx val="4"/>
          <c:order val="4"/>
          <c:invertIfNegative val="0"/>
          <c:dLbls>
            <c:showLegendKey val="0"/>
            <c:showVal val="1"/>
            <c:showCatName val="0"/>
            <c:showSerName val="0"/>
            <c:showPercent val="0"/>
            <c:showBubbleSize val="0"/>
            <c:showLeaderLines val="0"/>
          </c:dLbls>
          <c:val>
            <c:numRef>
              <c:f>'2011 - Ciclo de Operação'!$B$44</c:f>
              <c:numCache>
                <c:formatCode>0</c:formatCode>
                <c:ptCount val="1"/>
                <c:pt idx="0">
                  <c:v>1512</c:v>
                </c:pt>
              </c:numCache>
            </c:numRef>
          </c:val>
        </c:ser>
        <c:ser>
          <c:idx val="5"/>
          <c:order val="5"/>
          <c:invertIfNegative val="0"/>
          <c:dLbls>
            <c:dLbl>
              <c:idx val="0"/>
              <c:layout>
                <c:manualLayout>
                  <c:x val="0"/>
                  <c:y val="-0.15820380137575021"/>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'2011 - Ciclo de Operação'!$I$44</c:f>
              <c:numCache>
                <c:formatCode>General</c:formatCode>
                <c:ptCount val="1"/>
                <c:pt idx="0">
                  <c:v>2</c:v>
                </c:pt>
              </c:numCache>
            </c:numRef>
          </c:val>
        </c:ser>
        <c:ser>
          <c:idx val="6"/>
          <c:order val="6"/>
          <c:invertIfNegative val="0"/>
          <c:dLbls>
            <c:showLegendKey val="0"/>
            <c:showVal val="1"/>
            <c:showCatName val="0"/>
            <c:showSerName val="0"/>
            <c:showPercent val="0"/>
            <c:showBubbleSize val="0"/>
            <c:showLeaderLines val="0"/>
          </c:dLbls>
          <c:val>
            <c:numRef>
              <c:f>'2011 - Ciclo de Operação'!$B$45</c:f>
              <c:numCache>
                <c:formatCode>0</c:formatCode>
                <c:ptCount val="1"/>
                <c:pt idx="0">
                  <c:v>1536</c:v>
                </c:pt>
              </c:numCache>
            </c:numRef>
          </c:val>
        </c:ser>
        <c:dLbls>
          <c:showLegendKey val="0"/>
          <c:showVal val="0"/>
          <c:showCatName val="0"/>
          <c:showSerName val="0"/>
          <c:showPercent val="0"/>
          <c:showBubbleSize val="0"/>
        </c:dLbls>
        <c:gapWidth val="150"/>
        <c:overlap val="100"/>
        <c:axId val="116630656"/>
        <c:axId val="116632192"/>
      </c:barChart>
      <c:catAx>
        <c:axId val="116630656"/>
        <c:scaling>
          <c:orientation val="minMax"/>
        </c:scaling>
        <c:delete val="1"/>
        <c:axPos val="l"/>
        <c:majorTickMark val="out"/>
        <c:minorTickMark val="none"/>
        <c:tickLblPos val="nextTo"/>
        <c:crossAx val="116632192"/>
        <c:crosses val="autoZero"/>
        <c:auto val="1"/>
        <c:lblAlgn val="ctr"/>
        <c:lblOffset val="100"/>
        <c:noMultiLvlLbl val="0"/>
      </c:catAx>
      <c:valAx>
        <c:axId val="116632192"/>
        <c:scaling>
          <c:orientation val="minMax"/>
        </c:scaling>
        <c:delete val="1"/>
        <c:axPos val="b"/>
        <c:numFmt formatCode="0" sourceLinked="1"/>
        <c:majorTickMark val="out"/>
        <c:minorTickMark val="none"/>
        <c:tickLblPos val="nextTo"/>
        <c:crossAx val="116630656"/>
        <c:crosses val="autoZero"/>
        <c:crossBetween val="between"/>
      </c:valAx>
      <c:spPr>
        <a:noFill/>
        <a:ln w="25400">
          <a:noFill/>
        </a:ln>
      </c:spPr>
    </c:plotArea>
    <c:plotVisOnly val="1"/>
    <c:dispBlanksAs val="gap"/>
    <c:showDLblsOverMax val="0"/>
  </c:chart>
  <c:printSettings>
    <c:headerFooter/>
    <c:pageMargins b="0.75" l="0.7" r="0.7" t="0.75" header="0.3" footer="0.3"/>
    <c:pageSetup/>
  </c:printSettings>
  <c:userShapes r:id="rId1"/>
</c:chartSpace>
</file>

<file path=xl/charts/chart96.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42"/>
    </mc:Choice>
    <mc:Fallback>
      <c:style val="42"/>
    </mc:Fallback>
  </mc:AlternateContent>
  <c:chart>
    <c:title>
      <c:tx>
        <c:rich>
          <a:bodyPr/>
          <a:lstStyle/>
          <a:p>
            <a:pPr>
              <a:defRPr/>
            </a:pPr>
            <a:r>
              <a:rPr lang="en-US"/>
              <a:t>Moinho 3</a:t>
            </a:r>
          </a:p>
        </c:rich>
      </c:tx>
      <c:layout/>
      <c:overlay val="0"/>
    </c:title>
    <c:autoTitleDeleted val="0"/>
    <c:plotArea>
      <c:layout>
        <c:manualLayout>
          <c:layoutTarget val="inner"/>
          <c:xMode val="edge"/>
          <c:yMode val="edge"/>
          <c:x val="2.4691358024691357E-2"/>
          <c:y val="0.32444484748597435"/>
          <c:w val="0.95286195286195285"/>
          <c:h val="0.55961308824621336"/>
        </c:manualLayout>
      </c:layout>
      <c:barChart>
        <c:barDir val="bar"/>
        <c:grouping val="stacked"/>
        <c:varyColors val="0"/>
        <c:ser>
          <c:idx val="0"/>
          <c:order val="0"/>
          <c:invertIfNegative val="0"/>
          <c:dLbls>
            <c:showLegendKey val="0"/>
            <c:showVal val="1"/>
            <c:showCatName val="0"/>
            <c:showSerName val="0"/>
            <c:showPercent val="0"/>
            <c:showBubbleSize val="0"/>
            <c:showLeaderLines val="0"/>
          </c:dLbls>
          <c:val>
            <c:numRef>
              <c:f>'2011 - Ciclo de Operação'!$B$46</c:f>
              <c:numCache>
                <c:formatCode>0</c:formatCode>
                <c:ptCount val="1"/>
                <c:pt idx="0">
                  <c:v>2688</c:v>
                </c:pt>
              </c:numCache>
            </c:numRef>
          </c:val>
        </c:ser>
        <c:ser>
          <c:idx val="1"/>
          <c:order val="1"/>
          <c:invertIfNegative val="0"/>
          <c:dLbls>
            <c:dLbl>
              <c:idx val="0"/>
              <c:layout>
                <c:manualLayout>
                  <c:x val="0"/>
                  <c:y val="-0.15820380137575021"/>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'2011 - Ciclo de Operação'!$I$46</c:f>
              <c:numCache>
                <c:formatCode>General</c:formatCode>
                <c:ptCount val="1"/>
                <c:pt idx="0">
                  <c:v>6</c:v>
                </c:pt>
              </c:numCache>
            </c:numRef>
          </c:val>
        </c:ser>
        <c:ser>
          <c:idx val="2"/>
          <c:order val="2"/>
          <c:invertIfNegative val="0"/>
          <c:dLbls>
            <c:showLegendKey val="0"/>
            <c:showVal val="1"/>
            <c:showCatName val="0"/>
            <c:showSerName val="0"/>
            <c:showPercent val="0"/>
            <c:showBubbleSize val="0"/>
            <c:showLeaderLines val="0"/>
          </c:dLbls>
          <c:val>
            <c:numRef>
              <c:f>'2011 - Ciclo de Operação'!$B$47</c:f>
              <c:numCache>
                <c:formatCode>0</c:formatCode>
                <c:ptCount val="1"/>
                <c:pt idx="0">
                  <c:v>5952</c:v>
                </c:pt>
              </c:numCache>
            </c:numRef>
          </c:val>
        </c:ser>
        <c:dLbls>
          <c:showLegendKey val="0"/>
          <c:showVal val="0"/>
          <c:showCatName val="0"/>
          <c:showSerName val="0"/>
          <c:showPercent val="0"/>
          <c:showBubbleSize val="0"/>
        </c:dLbls>
        <c:gapWidth val="150"/>
        <c:overlap val="100"/>
        <c:axId val="116746112"/>
        <c:axId val="116747648"/>
      </c:barChart>
      <c:catAx>
        <c:axId val="116746112"/>
        <c:scaling>
          <c:orientation val="minMax"/>
        </c:scaling>
        <c:delete val="1"/>
        <c:axPos val="l"/>
        <c:majorTickMark val="out"/>
        <c:minorTickMark val="none"/>
        <c:tickLblPos val="nextTo"/>
        <c:crossAx val="116747648"/>
        <c:crosses val="autoZero"/>
        <c:auto val="1"/>
        <c:lblAlgn val="ctr"/>
        <c:lblOffset val="100"/>
        <c:noMultiLvlLbl val="0"/>
      </c:catAx>
      <c:valAx>
        <c:axId val="116747648"/>
        <c:scaling>
          <c:orientation val="minMax"/>
        </c:scaling>
        <c:delete val="1"/>
        <c:axPos val="b"/>
        <c:numFmt formatCode="0" sourceLinked="1"/>
        <c:majorTickMark val="out"/>
        <c:minorTickMark val="none"/>
        <c:tickLblPos val="nextTo"/>
        <c:crossAx val="116746112"/>
        <c:crosses val="autoZero"/>
        <c:crossBetween val="between"/>
      </c:valAx>
      <c:spPr>
        <a:noFill/>
        <a:ln w="25400">
          <a:noFill/>
        </a:ln>
      </c:spPr>
    </c:plotArea>
    <c:plotVisOnly val="1"/>
    <c:dispBlanksAs val="gap"/>
    <c:showDLblsOverMax val="0"/>
  </c:chart>
  <c:printSettings>
    <c:headerFooter/>
    <c:pageMargins b="0.75" l="0.7" r="0.7" t="0.75" header="0.3" footer="0.3"/>
    <c:pageSetup/>
  </c:printSettings>
  <c:userShapes r:id="rId1"/>
</c:chartSpace>
</file>

<file path=xl/charts/chart97.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42"/>
    </mc:Choice>
    <mc:Fallback>
      <c:style val="42"/>
    </mc:Fallback>
  </mc:AlternateContent>
  <c:chart>
    <c:title>
      <c:tx>
        <c:rich>
          <a:bodyPr/>
          <a:lstStyle/>
          <a:p>
            <a:pPr>
              <a:defRPr/>
            </a:pPr>
            <a:r>
              <a:rPr lang="en-US"/>
              <a:t>Urb. - Encosta dos cedros</a:t>
            </a:r>
          </a:p>
        </c:rich>
      </c:tx>
      <c:layout/>
      <c:overlay val="0"/>
    </c:title>
    <c:autoTitleDeleted val="0"/>
    <c:plotArea>
      <c:layout>
        <c:manualLayout>
          <c:layoutTarget val="inner"/>
          <c:xMode val="edge"/>
          <c:yMode val="edge"/>
          <c:x val="2.4691358024691357E-2"/>
          <c:y val="0.32444484748597435"/>
          <c:w val="0.95286195286195285"/>
          <c:h val="0.55961308824621336"/>
        </c:manualLayout>
      </c:layout>
      <c:barChart>
        <c:barDir val="bar"/>
        <c:grouping val="stacked"/>
        <c:varyColors val="0"/>
        <c:ser>
          <c:idx val="0"/>
          <c:order val="0"/>
          <c:invertIfNegative val="0"/>
          <c:dLbls>
            <c:showLegendKey val="0"/>
            <c:showVal val="1"/>
            <c:showCatName val="0"/>
            <c:showSerName val="0"/>
            <c:showPercent val="0"/>
            <c:showBubbleSize val="0"/>
            <c:showLeaderLines val="0"/>
          </c:dLbls>
          <c:val>
            <c:numRef>
              <c:f>'2011 - Ciclo de Operação'!$B$48</c:f>
              <c:numCache>
                <c:formatCode>0</c:formatCode>
                <c:ptCount val="1"/>
                <c:pt idx="0">
                  <c:v>5736</c:v>
                </c:pt>
              </c:numCache>
            </c:numRef>
          </c:val>
        </c:ser>
        <c:ser>
          <c:idx val="1"/>
          <c:order val="1"/>
          <c:invertIfNegative val="0"/>
          <c:dLbls>
            <c:dLbl>
              <c:idx val="0"/>
              <c:layout>
                <c:manualLayout>
                  <c:x val="0"/>
                  <c:y val="-0.1502936113069627"/>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'2011 - Ciclo de Operação'!$I$48</c:f>
              <c:numCache>
                <c:formatCode>General</c:formatCode>
                <c:ptCount val="1"/>
                <c:pt idx="0">
                  <c:v>3</c:v>
                </c:pt>
              </c:numCache>
            </c:numRef>
          </c:val>
        </c:ser>
        <c:ser>
          <c:idx val="2"/>
          <c:order val="2"/>
          <c:invertIfNegative val="0"/>
          <c:dLbls>
            <c:showLegendKey val="0"/>
            <c:showVal val="1"/>
            <c:showCatName val="0"/>
            <c:showSerName val="0"/>
            <c:showPercent val="0"/>
            <c:showBubbleSize val="0"/>
            <c:showLeaderLines val="0"/>
          </c:dLbls>
          <c:val>
            <c:numRef>
              <c:f>'2011 - Ciclo de Operação'!$B$50</c:f>
              <c:numCache>
                <c:formatCode>0</c:formatCode>
                <c:ptCount val="1"/>
                <c:pt idx="0">
                  <c:v>5160</c:v>
                </c:pt>
              </c:numCache>
            </c:numRef>
          </c:val>
        </c:ser>
        <c:ser>
          <c:idx val="3"/>
          <c:order val="3"/>
          <c:invertIfNegative val="0"/>
          <c:dLbls>
            <c:dLbl>
              <c:idx val="0"/>
              <c:layout>
                <c:manualLayout>
                  <c:x val="2.4573561633975446E-3"/>
                  <c:y val="-0.15820380137575021"/>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'2011 - Ciclo de Operação'!$I$50</c:f>
              <c:numCache>
                <c:formatCode>General</c:formatCode>
                <c:ptCount val="1"/>
                <c:pt idx="0">
                  <c:v>120</c:v>
                </c:pt>
              </c:numCache>
            </c:numRef>
          </c:val>
        </c:ser>
        <c:ser>
          <c:idx val="4"/>
          <c:order val="4"/>
          <c:invertIfNegative val="0"/>
          <c:dLbls>
            <c:showLegendKey val="0"/>
            <c:showVal val="1"/>
            <c:showCatName val="0"/>
            <c:showSerName val="0"/>
            <c:showPercent val="0"/>
            <c:showBubbleSize val="0"/>
            <c:showLeaderLines val="0"/>
          </c:dLbls>
          <c:val>
            <c:numRef>
              <c:f>'2011 - Ciclo de Operação'!$B$51</c:f>
              <c:numCache>
                <c:formatCode>0</c:formatCode>
                <c:ptCount val="1"/>
                <c:pt idx="0">
                  <c:v>3480</c:v>
                </c:pt>
              </c:numCache>
            </c:numRef>
          </c:val>
        </c:ser>
        <c:dLbls>
          <c:showLegendKey val="0"/>
          <c:showVal val="0"/>
          <c:showCatName val="0"/>
          <c:showSerName val="0"/>
          <c:showPercent val="0"/>
          <c:showBubbleSize val="0"/>
        </c:dLbls>
        <c:gapWidth val="150"/>
        <c:overlap val="100"/>
        <c:axId val="116798592"/>
        <c:axId val="116800128"/>
      </c:barChart>
      <c:catAx>
        <c:axId val="116798592"/>
        <c:scaling>
          <c:orientation val="minMax"/>
        </c:scaling>
        <c:delete val="1"/>
        <c:axPos val="l"/>
        <c:majorTickMark val="out"/>
        <c:minorTickMark val="none"/>
        <c:tickLblPos val="nextTo"/>
        <c:crossAx val="116800128"/>
        <c:crosses val="autoZero"/>
        <c:auto val="1"/>
        <c:lblAlgn val="ctr"/>
        <c:lblOffset val="100"/>
        <c:noMultiLvlLbl val="0"/>
      </c:catAx>
      <c:valAx>
        <c:axId val="116800128"/>
        <c:scaling>
          <c:orientation val="minMax"/>
        </c:scaling>
        <c:delete val="1"/>
        <c:axPos val="b"/>
        <c:numFmt formatCode="0" sourceLinked="1"/>
        <c:majorTickMark val="out"/>
        <c:minorTickMark val="none"/>
        <c:tickLblPos val="nextTo"/>
        <c:crossAx val="116798592"/>
        <c:crosses val="autoZero"/>
        <c:crossBetween val="between"/>
      </c:valAx>
      <c:spPr>
        <a:noFill/>
        <a:ln w="25400">
          <a:noFill/>
        </a:ln>
      </c:spPr>
    </c:plotArea>
    <c:plotVisOnly val="1"/>
    <c:dispBlanksAs val="gap"/>
    <c:showDLblsOverMax val="0"/>
  </c:chart>
  <c:printSettings>
    <c:headerFooter/>
    <c:pageMargins b="0.75" l="0.7" r="0.7" t="0.75" header="0.3" footer="0.3"/>
    <c:pageSetup/>
  </c:printSettings>
  <c:userShapes r:id="rId1"/>
</c:chartSpace>
</file>

<file path=xl/charts/chart98.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42"/>
    </mc:Choice>
    <mc:Fallback>
      <c:style val="42"/>
    </mc:Fallback>
  </mc:AlternateContent>
  <c:chart>
    <c:title>
      <c:tx>
        <c:rich>
          <a:bodyPr/>
          <a:lstStyle/>
          <a:p>
            <a:pPr>
              <a:defRPr/>
            </a:pPr>
            <a:r>
              <a:rPr lang="en-US"/>
              <a:t>Urb. - Serra de</a:t>
            </a:r>
            <a:r>
              <a:rPr lang="en-US" baseline="0"/>
              <a:t> Lagares</a:t>
            </a:r>
            <a:endParaRPr lang="en-US"/>
          </a:p>
        </c:rich>
      </c:tx>
      <c:layout/>
      <c:overlay val="0"/>
    </c:title>
    <c:autoTitleDeleted val="0"/>
    <c:plotArea>
      <c:layout>
        <c:manualLayout>
          <c:layoutTarget val="inner"/>
          <c:xMode val="edge"/>
          <c:yMode val="edge"/>
          <c:x val="2.4691358024691357E-2"/>
          <c:y val="0.32444484748597435"/>
          <c:w val="0.95286195286195285"/>
          <c:h val="0.55961308824621336"/>
        </c:manualLayout>
      </c:layout>
      <c:barChart>
        <c:barDir val="bar"/>
        <c:grouping val="stacked"/>
        <c:varyColors val="0"/>
        <c:ser>
          <c:idx val="0"/>
          <c:order val="0"/>
          <c:invertIfNegative val="0"/>
          <c:dLbls>
            <c:showLegendKey val="0"/>
            <c:showVal val="1"/>
            <c:showCatName val="0"/>
            <c:showSerName val="0"/>
            <c:showPercent val="0"/>
            <c:showBubbleSize val="0"/>
            <c:showLeaderLines val="0"/>
          </c:dLbls>
          <c:val>
            <c:numRef>
              <c:f>'2011 - Ciclo de Operação'!$B$50</c:f>
              <c:numCache>
                <c:formatCode>0</c:formatCode>
                <c:ptCount val="1"/>
                <c:pt idx="0">
                  <c:v>5160</c:v>
                </c:pt>
              </c:numCache>
            </c:numRef>
          </c:val>
        </c:ser>
        <c:ser>
          <c:idx val="1"/>
          <c:order val="1"/>
          <c:invertIfNegative val="0"/>
          <c:dLbls>
            <c:dLbl>
              <c:idx val="0"/>
              <c:layout>
                <c:manualLayout>
                  <c:x val="0"/>
                  <c:y val="-0.1502936113069627"/>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'2011 - Ciclo de Operação'!$I$50</c:f>
              <c:numCache>
                <c:formatCode>General</c:formatCode>
                <c:ptCount val="1"/>
                <c:pt idx="0">
                  <c:v>120</c:v>
                </c:pt>
              </c:numCache>
            </c:numRef>
          </c:val>
        </c:ser>
        <c:ser>
          <c:idx val="2"/>
          <c:order val="2"/>
          <c:invertIfNegative val="0"/>
          <c:dLbls>
            <c:showLegendKey val="0"/>
            <c:showVal val="1"/>
            <c:showCatName val="0"/>
            <c:showSerName val="0"/>
            <c:showPercent val="0"/>
            <c:showBubbleSize val="0"/>
            <c:showLeaderLines val="0"/>
          </c:dLbls>
          <c:val>
            <c:numRef>
              <c:f>'2011 - Ciclo de Operação'!$B$51</c:f>
              <c:numCache>
                <c:formatCode>0</c:formatCode>
                <c:ptCount val="1"/>
                <c:pt idx="0">
                  <c:v>3480</c:v>
                </c:pt>
              </c:numCache>
            </c:numRef>
          </c:val>
        </c:ser>
        <c:dLbls>
          <c:showLegendKey val="0"/>
          <c:showVal val="0"/>
          <c:showCatName val="0"/>
          <c:showSerName val="0"/>
          <c:showPercent val="0"/>
          <c:showBubbleSize val="0"/>
        </c:dLbls>
        <c:gapWidth val="150"/>
        <c:overlap val="100"/>
        <c:axId val="117249920"/>
        <c:axId val="117251456"/>
      </c:barChart>
      <c:catAx>
        <c:axId val="117249920"/>
        <c:scaling>
          <c:orientation val="minMax"/>
        </c:scaling>
        <c:delete val="1"/>
        <c:axPos val="l"/>
        <c:majorTickMark val="out"/>
        <c:minorTickMark val="none"/>
        <c:tickLblPos val="nextTo"/>
        <c:crossAx val="117251456"/>
        <c:crosses val="autoZero"/>
        <c:auto val="1"/>
        <c:lblAlgn val="ctr"/>
        <c:lblOffset val="100"/>
        <c:noMultiLvlLbl val="0"/>
      </c:catAx>
      <c:valAx>
        <c:axId val="117251456"/>
        <c:scaling>
          <c:orientation val="minMax"/>
        </c:scaling>
        <c:delete val="1"/>
        <c:axPos val="b"/>
        <c:numFmt formatCode="0" sourceLinked="1"/>
        <c:majorTickMark val="out"/>
        <c:minorTickMark val="none"/>
        <c:tickLblPos val="nextTo"/>
        <c:crossAx val="117249920"/>
        <c:crosses val="autoZero"/>
        <c:crossBetween val="between"/>
      </c:valAx>
      <c:spPr>
        <a:noFill/>
        <a:ln w="25400">
          <a:noFill/>
        </a:ln>
      </c:spPr>
    </c:plotArea>
    <c:plotVisOnly val="1"/>
    <c:dispBlanksAs val="gap"/>
    <c:showDLblsOverMax val="0"/>
  </c:chart>
  <c:printSettings>
    <c:headerFooter/>
    <c:pageMargins b="0.75" l="0.7" r="0.7" t="0.75" header="0.3" footer="0.3"/>
    <c:pageSetup/>
  </c:printSettings>
  <c:userShapes r:id="rId1"/>
</c:chartSpace>
</file>

<file path=xl/charts/chart99.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42"/>
    </mc:Choice>
    <mc:Fallback>
      <c:style val="42"/>
    </mc:Fallback>
  </mc:AlternateContent>
  <c:chart>
    <c:title>
      <c:tx>
        <c:rich>
          <a:bodyPr/>
          <a:lstStyle/>
          <a:p>
            <a:pPr>
              <a:defRPr/>
            </a:pPr>
            <a:r>
              <a:rPr lang="en-US"/>
              <a:t>Urb. - Ribeira</a:t>
            </a:r>
          </a:p>
        </c:rich>
      </c:tx>
      <c:layout/>
      <c:overlay val="0"/>
    </c:title>
    <c:autoTitleDeleted val="0"/>
    <c:plotArea>
      <c:layout>
        <c:manualLayout>
          <c:layoutTarget val="inner"/>
          <c:xMode val="edge"/>
          <c:yMode val="edge"/>
          <c:x val="2.4691358024691357E-2"/>
          <c:y val="0.32444484748597435"/>
          <c:w val="0.95286195286195285"/>
          <c:h val="0.55961308824621336"/>
        </c:manualLayout>
      </c:layout>
      <c:barChart>
        <c:barDir val="bar"/>
        <c:grouping val="stacked"/>
        <c:varyColors val="0"/>
        <c:ser>
          <c:idx val="0"/>
          <c:order val="0"/>
          <c:invertIfNegative val="0"/>
          <c:dLbls>
            <c:showLegendKey val="0"/>
            <c:showVal val="1"/>
            <c:showCatName val="0"/>
            <c:showSerName val="0"/>
            <c:showPercent val="0"/>
            <c:showBubbleSize val="0"/>
            <c:showLeaderLines val="0"/>
          </c:dLbls>
          <c:val>
            <c:numRef>
              <c:f>'2011 - Ciclo de Operação'!$B$50</c:f>
              <c:numCache>
                <c:formatCode>0</c:formatCode>
                <c:ptCount val="1"/>
                <c:pt idx="0">
                  <c:v>5160</c:v>
                </c:pt>
              </c:numCache>
            </c:numRef>
          </c:val>
        </c:ser>
        <c:ser>
          <c:idx val="1"/>
          <c:order val="1"/>
          <c:invertIfNegative val="0"/>
          <c:dLbls>
            <c:dLbl>
              <c:idx val="0"/>
              <c:layout>
                <c:manualLayout>
                  <c:x val="0"/>
                  <c:y val="-0.15820380137575021"/>
                </c:manualLayout>
              </c:layout>
              <c:showLegendKey val="0"/>
              <c:showVal val="1"/>
              <c:showCatName val="0"/>
              <c:showSerName val="0"/>
              <c:showPercent val="0"/>
              <c:showBubbleSize val="0"/>
            </c:dLbl>
            <c:showLegendKey val="0"/>
            <c:showVal val="1"/>
            <c:showCatName val="0"/>
            <c:showSerName val="0"/>
            <c:showPercent val="0"/>
            <c:showBubbleSize val="0"/>
            <c:showLeaderLines val="0"/>
          </c:dLbls>
          <c:val>
            <c:numRef>
              <c:f>'2011 - Ciclo de Operação'!$I$50</c:f>
              <c:numCache>
                <c:formatCode>General</c:formatCode>
                <c:ptCount val="1"/>
                <c:pt idx="0">
                  <c:v>120</c:v>
                </c:pt>
              </c:numCache>
            </c:numRef>
          </c:val>
        </c:ser>
        <c:ser>
          <c:idx val="2"/>
          <c:order val="2"/>
          <c:invertIfNegative val="0"/>
          <c:dLbls>
            <c:showLegendKey val="0"/>
            <c:showVal val="1"/>
            <c:showCatName val="0"/>
            <c:showSerName val="0"/>
            <c:showPercent val="0"/>
            <c:showBubbleSize val="0"/>
            <c:showLeaderLines val="0"/>
          </c:dLbls>
          <c:val>
            <c:numRef>
              <c:f>'2011 - Ciclo de Operação'!$B$51</c:f>
              <c:numCache>
                <c:formatCode>0</c:formatCode>
                <c:ptCount val="1"/>
                <c:pt idx="0">
                  <c:v>3480</c:v>
                </c:pt>
              </c:numCache>
            </c:numRef>
          </c:val>
        </c:ser>
        <c:dLbls>
          <c:showLegendKey val="0"/>
          <c:showVal val="0"/>
          <c:showCatName val="0"/>
          <c:showSerName val="0"/>
          <c:showPercent val="0"/>
          <c:showBubbleSize val="0"/>
        </c:dLbls>
        <c:gapWidth val="150"/>
        <c:overlap val="100"/>
        <c:axId val="117299840"/>
        <c:axId val="116920704"/>
      </c:barChart>
      <c:catAx>
        <c:axId val="117299840"/>
        <c:scaling>
          <c:orientation val="minMax"/>
        </c:scaling>
        <c:delete val="1"/>
        <c:axPos val="l"/>
        <c:majorTickMark val="out"/>
        <c:minorTickMark val="none"/>
        <c:tickLblPos val="nextTo"/>
        <c:crossAx val="116920704"/>
        <c:crosses val="autoZero"/>
        <c:auto val="1"/>
        <c:lblAlgn val="ctr"/>
        <c:lblOffset val="100"/>
        <c:noMultiLvlLbl val="0"/>
      </c:catAx>
      <c:valAx>
        <c:axId val="116920704"/>
        <c:scaling>
          <c:orientation val="minMax"/>
        </c:scaling>
        <c:delete val="1"/>
        <c:axPos val="b"/>
        <c:numFmt formatCode="0" sourceLinked="1"/>
        <c:majorTickMark val="out"/>
        <c:minorTickMark val="none"/>
        <c:tickLblPos val="nextTo"/>
        <c:crossAx val="117299840"/>
        <c:crosses val="autoZero"/>
        <c:crossBetween val="between"/>
      </c:valAx>
      <c:spPr>
        <a:noFill/>
        <a:ln w="25400">
          <a:noFill/>
        </a:ln>
      </c:spPr>
    </c:plotArea>
    <c:plotVisOnly val="1"/>
    <c:dispBlanksAs val="gap"/>
    <c:showDLblsOverMax val="0"/>
  </c:chart>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hyperlink" Target="#'2014 - Ciclo de Opera&#231;&#227;o'!A1"/><Relationship Id="rId13" Type="http://schemas.openxmlformats.org/officeDocument/2006/relationships/hyperlink" Target="#'2012 - Descri&#231;&#227;o'!A1"/><Relationship Id="rId18" Type="http://schemas.openxmlformats.org/officeDocument/2006/relationships/hyperlink" Target="#'2011 - Gr&#225;ficos'!A1"/><Relationship Id="rId26" Type="http://schemas.openxmlformats.org/officeDocument/2006/relationships/hyperlink" Target="#'Correla&#231;&#245;es Avarias'!A1"/><Relationship Id="rId39" Type="http://schemas.openxmlformats.org/officeDocument/2006/relationships/hyperlink" Target="#'Comb.fo 41 - Total - Weibull'!A1"/><Relationship Id="rId3" Type="http://schemas.openxmlformats.org/officeDocument/2006/relationships/hyperlink" Target="#'2015 - MTBF, MTTF, Exponencial'!A1"/><Relationship Id="rId21" Type="http://schemas.openxmlformats.org/officeDocument/2006/relationships/hyperlink" Target="#'2010 - Descri&#231;&#227;o'!A1"/><Relationship Id="rId34" Type="http://schemas.openxmlformats.org/officeDocument/2006/relationships/hyperlink" Target="#'Sistemas Compostos'!A1"/><Relationship Id="rId42" Type="http://schemas.openxmlformats.org/officeDocument/2006/relationships/hyperlink" Target="#'Moinhos - Familias - Weibull'!A1"/><Relationship Id="rId7" Type="http://schemas.openxmlformats.org/officeDocument/2006/relationships/hyperlink" Target="#'2014 - MTBF, MTTF, Exponencial'!A1"/><Relationship Id="rId12" Type="http://schemas.openxmlformats.org/officeDocument/2006/relationships/hyperlink" Target="#'2013 - Ciclo de Opera&#231;&#227;o'!A1"/><Relationship Id="rId17" Type="http://schemas.openxmlformats.org/officeDocument/2006/relationships/hyperlink" Target="#'2011 - Descri&#231;&#227;o'!A1"/><Relationship Id="rId25" Type="http://schemas.openxmlformats.org/officeDocument/2006/relationships/hyperlink" Target="#'MTBF Equipamento'!A1"/><Relationship Id="rId33" Type="http://schemas.openxmlformats.org/officeDocument/2006/relationships/hyperlink" Target="#'Postos Urb. ambiente - Exponenc'!A1"/><Relationship Id="rId38" Type="http://schemas.openxmlformats.org/officeDocument/2006/relationships/hyperlink" Target="#'Comb.fo 31 - Total - Weibull'!A1"/><Relationship Id="rId2" Type="http://schemas.openxmlformats.org/officeDocument/2006/relationships/hyperlink" Target="#'2015 - Gr&#225;ficos'!A1"/><Relationship Id="rId16" Type="http://schemas.openxmlformats.org/officeDocument/2006/relationships/hyperlink" Target="#'2012 - Ciclo de Opera&#231;&#227;o'!A1"/><Relationship Id="rId20" Type="http://schemas.openxmlformats.org/officeDocument/2006/relationships/hyperlink" Target="#'2011 - Ciclo de Opera&#231;&#227;o'!A1"/><Relationship Id="rId29" Type="http://schemas.openxmlformats.org/officeDocument/2006/relationships/hyperlink" Target="#'Inciner 3 - Total - Exponencial'!A1"/><Relationship Id="rId41" Type="http://schemas.openxmlformats.org/officeDocument/2006/relationships/hyperlink" Target="#'Incinera 2 - Familias - Weibull'!A1"/><Relationship Id="rId1" Type="http://schemas.openxmlformats.org/officeDocument/2006/relationships/hyperlink" Target="#'2015 - Descri&#231;&#227;o'!A1"/><Relationship Id="rId6" Type="http://schemas.openxmlformats.org/officeDocument/2006/relationships/hyperlink" Target="#'2014 - Gr&#225;ficos'!A1"/><Relationship Id="rId11" Type="http://schemas.openxmlformats.org/officeDocument/2006/relationships/hyperlink" Target="#'2013 - MTBF, MTTF, Exponencial'!A1"/><Relationship Id="rId24" Type="http://schemas.openxmlformats.org/officeDocument/2006/relationships/hyperlink" Target="#'2010 - Ciclo de Opera&#231;&#227;o'!A1"/><Relationship Id="rId32" Type="http://schemas.openxmlformats.org/officeDocument/2006/relationships/hyperlink" Target="#'Comb.fo 41 - Total - Exponencia'!A1"/><Relationship Id="rId37" Type="http://schemas.openxmlformats.org/officeDocument/2006/relationships/hyperlink" Target="#'Moinhos - Total - Weibull'!A1"/><Relationship Id="rId40" Type="http://schemas.openxmlformats.org/officeDocument/2006/relationships/hyperlink" Target="#'Postos Urb. ambiente - Weibull'!A1"/><Relationship Id="rId45" Type="http://schemas.openxmlformats.org/officeDocument/2006/relationships/hyperlink" Target="#'Postos Urb. - Familias - Weibul'!A1"/><Relationship Id="rId5" Type="http://schemas.openxmlformats.org/officeDocument/2006/relationships/hyperlink" Target="#'2014 - Descri&#231;&#227;o'!A1"/><Relationship Id="rId15" Type="http://schemas.openxmlformats.org/officeDocument/2006/relationships/hyperlink" Target="#'2012 - MTBF, MTTF, Exponencial'!A1"/><Relationship Id="rId23" Type="http://schemas.openxmlformats.org/officeDocument/2006/relationships/hyperlink" Target="#'2010 - MTBF, MTTF, Exponencial'!A1"/><Relationship Id="rId28" Type="http://schemas.openxmlformats.org/officeDocument/2006/relationships/hyperlink" Target="#'Inciner 2 - Total - Exponencial'!A1"/><Relationship Id="rId36" Type="http://schemas.openxmlformats.org/officeDocument/2006/relationships/hyperlink" Target="#'Incinera 3 - Familias - Weibull'!A1"/><Relationship Id="rId10" Type="http://schemas.openxmlformats.org/officeDocument/2006/relationships/hyperlink" Target="#'2013 - Gr&#225;ficos'!A1"/><Relationship Id="rId19" Type="http://schemas.openxmlformats.org/officeDocument/2006/relationships/hyperlink" Target="#'2011 - MTBF, MTTF, Exponencial'!A1"/><Relationship Id="rId31" Type="http://schemas.openxmlformats.org/officeDocument/2006/relationships/hyperlink" Target="#'Comb.fo 31 - Total - Exponencia'!A1"/><Relationship Id="rId44" Type="http://schemas.openxmlformats.org/officeDocument/2006/relationships/hyperlink" Target="#'Comb.fo 41 - Familias - Weibull'!A1"/><Relationship Id="rId4" Type="http://schemas.openxmlformats.org/officeDocument/2006/relationships/hyperlink" Target="#'2015 - Ciclo de Opera&#231;&#227;o'!A1"/><Relationship Id="rId9" Type="http://schemas.openxmlformats.org/officeDocument/2006/relationships/hyperlink" Target="#'2013 - Descri&#231;&#227;o'!A1"/><Relationship Id="rId14" Type="http://schemas.openxmlformats.org/officeDocument/2006/relationships/hyperlink" Target="#'2012 - Gr&#225;ficos'!A1"/><Relationship Id="rId22" Type="http://schemas.openxmlformats.org/officeDocument/2006/relationships/hyperlink" Target="#'2010 - Gr&#225;ficos'!A1"/><Relationship Id="rId27" Type="http://schemas.openxmlformats.org/officeDocument/2006/relationships/hyperlink" Target="#'MTBF Zonas'!A1"/><Relationship Id="rId30" Type="http://schemas.openxmlformats.org/officeDocument/2006/relationships/hyperlink" Target="#'Moinhos - Total - Exponencial'!A1"/><Relationship Id="rId35" Type="http://schemas.openxmlformats.org/officeDocument/2006/relationships/hyperlink" Target="#'Incinerador 2 - Total - Weibull'!A1"/><Relationship Id="rId43" Type="http://schemas.openxmlformats.org/officeDocument/2006/relationships/hyperlink" Target="#'Comb.fo 31 - Familias - Weibull'!A1"/></Relationships>
</file>

<file path=xl/drawings/_rels/drawing105.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1.gif"/><Relationship Id="rId1" Type="http://schemas.openxmlformats.org/officeDocument/2006/relationships/hyperlink" Target="#Index!A1"/></Relationships>
</file>

<file path=xl/drawings/_rels/drawing106.xml.rels><?xml version="1.0" encoding="UTF-8" standalone="yes"?>
<Relationships xmlns="http://schemas.openxmlformats.org/package/2006/relationships"><Relationship Id="rId8" Type="http://schemas.openxmlformats.org/officeDocument/2006/relationships/chart" Target="../charts/chart123.xml"/><Relationship Id="rId3" Type="http://schemas.openxmlformats.org/officeDocument/2006/relationships/hyperlink" Target="#Index!A1"/><Relationship Id="rId7" Type="http://schemas.openxmlformats.org/officeDocument/2006/relationships/chart" Target="../charts/chart122.xml"/><Relationship Id="rId2" Type="http://schemas.openxmlformats.org/officeDocument/2006/relationships/image" Target="../media/image2.jpeg"/><Relationship Id="rId1" Type="http://schemas.openxmlformats.org/officeDocument/2006/relationships/image" Target="../media/image1.gif"/><Relationship Id="rId6" Type="http://schemas.openxmlformats.org/officeDocument/2006/relationships/chart" Target="../charts/chart121.xml"/><Relationship Id="rId5" Type="http://schemas.openxmlformats.org/officeDocument/2006/relationships/chart" Target="../charts/chart120.xml"/><Relationship Id="rId4" Type="http://schemas.openxmlformats.org/officeDocument/2006/relationships/image" Target="../media/image3.png"/></Relationships>
</file>

<file path=xl/drawings/_rels/drawing107.xml.rels><?xml version="1.0" encoding="UTF-8" standalone="yes"?>
<Relationships xmlns="http://schemas.openxmlformats.org/package/2006/relationships"><Relationship Id="rId3" Type="http://schemas.openxmlformats.org/officeDocument/2006/relationships/image" Target="../media/image4.png"/><Relationship Id="rId7" Type="http://schemas.openxmlformats.org/officeDocument/2006/relationships/chart" Target="../charts/chart126.xml"/><Relationship Id="rId2" Type="http://schemas.openxmlformats.org/officeDocument/2006/relationships/hyperlink" Target="#Index!A1"/><Relationship Id="rId1" Type="http://schemas.openxmlformats.org/officeDocument/2006/relationships/image" Target="../media/image1.gif"/><Relationship Id="rId6" Type="http://schemas.openxmlformats.org/officeDocument/2006/relationships/chart" Target="../charts/chart125.xml"/><Relationship Id="rId5" Type="http://schemas.openxmlformats.org/officeDocument/2006/relationships/chart" Target="../charts/chart124.xml"/><Relationship Id="rId4" Type="http://schemas.openxmlformats.org/officeDocument/2006/relationships/image" Target="../media/image5.png"/></Relationships>
</file>

<file path=xl/drawings/_rels/drawing111.xml.rels><?xml version="1.0" encoding="UTF-8" standalone="yes"?>
<Relationships xmlns="http://schemas.openxmlformats.org/package/2006/relationships"><Relationship Id="rId8" Type="http://schemas.openxmlformats.org/officeDocument/2006/relationships/chart" Target="../charts/chart132.xml"/><Relationship Id="rId3" Type="http://schemas.openxmlformats.org/officeDocument/2006/relationships/chart" Target="../charts/chart127.xml"/><Relationship Id="rId7" Type="http://schemas.openxmlformats.org/officeDocument/2006/relationships/chart" Target="../charts/chart131.xml"/><Relationship Id="rId2" Type="http://schemas.openxmlformats.org/officeDocument/2006/relationships/hyperlink" Target="#Index!A1"/><Relationship Id="rId1" Type="http://schemas.openxmlformats.org/officeDocument/2006/relationships/image" Target="../media/image1.gif"/><Relationship Id="rId6" Type="http://schemas.openxmlformats.org/officeDocument/2006/relationships/chart" Target="../charts/chart130.xml"/><Relationship Id="rId5" Type="http://schemas.openxmlformats.org/officeDocument/2006/relationships/chart" Target="../charts/chart129.xml"/><Relationship Id="rId4" Type="http://schemas.openxmlformats.org/officeDocument/2006/relationships/chart" Target="../charts/chart128.xml"/></Relationships>
</file>

<file path=xl/drawings/_rels/drawing112.xml.rels><?xml version="1.0" encoding="UTF-8" standalone="yes"?>
<Relationships xmlns="http://schemas.openxmlformats.org/package/2006/relationships"><Relationship Id="rId8" Type="http://schemas.openxmlformats.org/officeDocument/2006/relationships/chart" Target="../charts/chart136.xml"/><Relationship Id="rId3" Type="http://schemas.openxmlformats.org/officeDocument/2006/relationships/hyperlink" Target="#Index!A1"/><Relationship Id="rId7" Type="http://schemas.openxmlformats.org/officeDocument/2006/relationships/chart" Target="../charts/chart135.xml"/><Relationship Id="rId2" Type="http://schemas.openxmlformats.org/officeDocument/2006/relationships/image" Target="../media/image2.jpeg"/><Relationship Id="rId1" Type="http://schemas.openxmlformats.org/officeDocument/2006/relationships/image" Target="../media/image1.gif"/><Relationship Id="rId6" Type="http://schemas.openxmlformats.org/officeDocument/2006/relationships/chart" Target="../charts/chart134.xml"/><Relationship Id="rId5" Type="http://schemas.openxmlformats.org/officeDocument/2006/relationships/chart" Target="../charts/chart133.xml"/><Relationship Id="rId10" Type="http://schemas.openxmlformats.org/officeDocument/2006/relationships/chart" Target="../charts/chart138.xml"/><Relationship Id="rId4" Type="http://schemas.openxmlformats.org/officeDocument/2006/relationships/image" Target="../media/image3.png"/><Relationship Id="rId9" Type="http://schemas.openxmlformats.org/officeDocument/2006/relationships/chart" Target="../charts/chart137.xml"/></Relationships>
</file>

<file path=xl/drawings/_rels/drawing113.xml.rels><?xml version="1.0" encoding="UTF-8" standalone="yes"?>
<Relationships xmlns="http://schemas.openxmlformats.org/package/2006/relationships"><Relationship Id="rId8" Type="http://schemas.openxmlformats.org/officeDocument/2006/relationships/chart" Target="../charts/chart142.xml"/><Relationship Id="rId3" Type="http://schemas.openxmlformats.org/officeDocument/2006/relationships/image" Target="../media/image4.png"/><Relationship Id="rId7" Type="http://schemas.openxmlformats.org/officeDocument/2006/relationships/chart" Target="../charts/chart141.xml"/><Relationship Id="rId2" Type="http://schemas.openxmlformats.org/officeDocument/2006/relationships/hyperlink" Target="#Index!A1"/><Relationship Id="rId1" Type="http://schemas.openxmlformats.org/officeDocument/2006/relationships/image" Target="../media/image1.gif"/><Relationship Id="rId6" Type="http://schemas.openxmlformats.org/officeDocument/2006/relationships/chart" Target="../charts/chart140.xml"/><Relationship Id="rId5" Type="http://schemas.openxmlformats.org/officeDocument/2006/relationships/chart" Target="../charts/chart139.xml"/><Relationship Id="rId4" Type="http://schemas.openxmlformats.org/officeDocument/2006/relationships/image" Target="../media/image5.png"/></Relationships>
</file>

<file path=xl/drawings/_rels/drawing118.xml.rels><?xml version="1.0" encoding="UTF-8" standalone="yes"?>
<Relationships xmlns="http://schemas.openxmlformats.org/package/2006/relationships"><Relationship Id="rId3" Type="http://schemas.openxmlformats.org/officeDocument/2006/relationships/chart" Target="../charts/chart143.xml"/><Relationship Id="rId2" Type="http://schemas.openxmlformats.org/officeDocument/2006/relationships/hyperlink" Target="#Index!A1"/><Relationship Id="rId1" Type="http://schemas.openxmlformats.org/officeDocument/2006/relationships/image" Target="../media/image1.gif"/><Relationship Id="rId6" Type="http://schemas.openxmlformats.org/officeDocument/2006/relationships/chart" Target="../charts/chart146.xml"/><Relationship Id="rId5" Type="http://schemas.openxmlformats.org/officeDocument/2006/relationships/chart" Target="../charts/chart145.xml"/><Relationship Id="rId4" Type="http://schemas.openxmlformats.org/officeDocument/2006/relationships/chart" Target="../charts/chart144.xml"/></Relationships>
</file>

<file path=xl/drawings/_rels/drawing119.xml.rels><?xml version="1.0" encoding="UTF-8" standalone="yes"?>
<Relationships xmlns="http://schemas.openxmlformats.org/package/2006/relationships"><Relationship Id="rId3" Type="http://schemas.openxmlformats.org/officeDocument/2006/relationships/hyperlink" Target="#Index!A1"/><Relationship Id="rId2" Type="http://schemas.openxmlformats.org/officeDocument/2006/relationships/image" Target="../media/image2.jpeg"/><Relationship Id="rId1" Type="http://schemas.openxmlformats.org/officeDocument/2006/relationships/image" Target="../media/image1.gif"/><Relationship Id="rId6" Type="http://schemas.openxmlformats.org/officeDocument/2006/relationships/chart" Target="../charts/chart148.xml"/><Relationship Id="rId5" Type="http://schemas.openxmlformats.org/officeDocument/2006/relationships/chart" Target="../charts/chart147.xml"/><Relationship Id="rId4" Type="http://schemas.openxmlformats.org/officeDocument/2006/relationships/image" Target="../media/image3.png"/></Relationships>
</file>

<file path=xl/drawings/_rels/drawing120.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hyperlink" Target="#Index!A1"/><Relationship Id="rId5" Type="http://schemas.openxmlformats.org/officeDocument/2006/relationships/chart" Target="../charts/chart150.xml"/><Relationship Id="rId4" Type="http://schemas.openxmlformats.org/officeDocument/2006/relationships/chart" Target="../charts/chart149.xml"/></Relationships>
</file>

<file path=xl/drawings/_rels/drawing123.xml.rels><?xml version="1.0" encoding="UTF-8" standalone="yes"?>
<Relationships xmlns="http://schemas.openxmlformats.org/package/2006/relationships"><Relationship Id="rId1" Type="http://schemas.openxmlformats.org/officeDocument/2006/relationships/hyperlink" Target="#Index!A1"/></Relationships>
</file>

<file path=xl/drawings/_rels/drawing124.xml.rels><?xml version="1.0" encoding="UTF-8" standalone="yes"?>
<Relationships xmlns="http://schemas.openxmlformats.org/package/2006/relationships"><Relationship Id="rId3" Type="http://schemas.openxmlformats.org/officeDocument/2006/relationships/hyperlink" Target="#Index!A1"/><Relationship Id="rId2" Type="http://schemas.openxmlformats.org/officeDocument/2006/relationships/image" Target="../media/image2.jpeg"/><Relationship Id="rId1" Type="http://schemas.openxmlformats.org/officeDocument/2006/relationships/image" Target="../media/image1.gif"/><Relationship Id="rId6" Type="http://schemas.openxmlformats.org/officeDocument/2006/relationships/chart" Target="../charts/chart152.xml"/><Relationship Id="rId5" Type="http://schemas.openxmlformats.org/officeDocument/2006/relationships/chart" Target="../charts/chart151.xml"/><Relationship Id="rId4" Type="http://schemas.openxmlformats.org/officeDocument/2006/relationships/image" Target="../media/image3.png"/></Relationships>
</file>

<file path=xl/drawings/_rels/drawing125.xml.rels><?xml version="1.0" encoding="UTF-8" standalone="yes"?>
<Relationships xmlns="http://schemas.openxmlformats.org/package/2006/relationships"><Relationship Id="rId3" Type="http://schemas.openxmlformats.org/officeDocument/2006/relationships/hyperlink" Target="#Index!A1"/><Relationship Id="rId2" Type="http://schemas.openxmlformats.org/officeDocument/2006/relationships/image" Target="../media/image2.jpeg"/><Relationship Id="rId1" Type="http://schemas.openxmlformats.org/officeDocument/2006/relationships/image" Target="../media/image1.gif"/><Relationship Id="rId4" Type="http://schemas.openxmlformats.org/officeDocument/2006/relationships/image" Target="../media/image3.png"/></Relationships>
</file>

<file path=xl/drawings/_rels/drawing126.xml.rels><?xml version="1.0" encoding="UTF-8" standalone="yes"?>
<Relationships xmlns="http://schemas.openxmlformats.org/package/2006/relationships"><Relationship Id="rId3" Type="http://schemas.openxmlformats.org/officeDocument/2006/relationships/hyperlink" Target="#Index!A1"/><Relationship Id="rId2" Type="http://schemas.openxmlformats.org/officeDocument/2006/relationships/image" Target="../media/image2.jpeg"/><Relationship Id="rId1" Type="http://schemas.openxmlformats.org/officeDocument/2006/relationships/image" Target="../media/image1.gif"/><Relationship Id="rId4" Type="http://schemas.openxmlformats.org/officeDocument/2006/relationships/image" Target="../media/image3.png"/></Relationships>
</file>

<file path=xl/drawings/_rels/drawing127.xml.rels><?xml version="1.0" encoding="UTF-8" standalone="yes"?>
<Relationships xmlns="http://schemas.openxmlformats.org/package/2006/relationships"><Relationship Id="rId8" Type="http://schemas.openxmlformats.org/officeDocument/2006/relationships/chart" Target="../charts/chart156.xml"/><Relationship Id="rId3" Type="http://schemas.openxmlformats.org/officeDocument/2006/relationships/hyperlink" Target="#Index!A1"/><Relationship Id="rId7" Type="http://schemas.openxmlformats.org/officeDocument/2006/relationships/chart" Target="../charts/chart155.xml"/><Relationship Id="rId2" Type="http://schemas.openxmlformats.org/officeDocument/2006/relationships/image" Target="../media/image2.jpeg"/><Relationship Id="rId1" Type="http://schemas.openxmlformats.org/officeDocument/2006/relationships/image" Target="../media/image1.gif"/><Relationship Id="rId6" Type="http://schemas.openxmlformats.org/officeDocument/2006/relationships/chart" Target="../charts/chart154.xml"/><Relationship Id="rId5" Type="http://schemas.openxmlformats.org/officeDocument/2006/relationships/chart" Target="../charts/chart153.xml"/><Relationship Id="rId4" Type="http://schemas.openxmlformats.org/officeDocument/2006/relationships/image" Target="../media/image3.png"/></Relationships>
</file>

<file path=xl/drawings/_rels/drawing128.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chart" Target="../charts/chart157.xml"/><Relationship Id="rId2" Type="http://schemas.openxmlformats.org/officeDocument/2006/relationships/image" Target="../media/image2.jpeg"/><Relationship Id="rId1" Type="http://schemas.openxmlformats.org/officeDocument/2006/relationships/image" Target="../media/image1.gif"/><Relationship Id="rId6" Type="http://schemas.openxmlformats.org/officeDocument/2006/relationships/image" Target="../media/image5.png"/><Relationship Id="rId5" Type="http://schemas.openxmlformats.org/officeDocument/2006/relationships/image" Target="../media/image4.png"/><Relationship Id="rId4" Type="http://schemas.openxmlformats.org/officeDocument/2006/relationships/hyperlink" Target="#Index!A1"/></Relationships>
</file>

<file path=xl/drawings/_rels/drawing130.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gif"/><Relationship Id="rId4" Type="http://schemas.openxmlformats.org/officeDocument/2006/relationships/hyperlink" Target="#Index!A1"/></Relationships>
</file>

<file path=xl/drawings/_rels/drawing131.xml.rels><?xml version="1.0" encoding="UTF-8" standalone="yes"?>
<Relationships xmlns="http://schemas.openxmlformats.org/package/2006/relationships"><Relationship Id="rId8" Type="http://schemas.openxmlformats.org/officeDocument/2006/relationships/chart" Target="../charts/chart161.xml"/><Relationship Id="rId3" Type="http://schemas.openxmlformats.org/officeDocument/2006/relationships/hyperlink" Target="#Index!A1"/><Relationship Id="rId7" Type="http://schemas.openxmlformats.org/officeDocument/2006/relationships/chart" Target="../charts/chart160.xml"/><Relationship Id="rId2" Type="http://schemas.openxmlformats.org/officeDocument/2006/relationships/image" Target="../media/image2.jpeg"/><Relationship Id="rId1" Type="http://schemas.openxmlformats.org/officeDocument/2006/relationships/image" Target="../media/image1.gif"/><Relationship Id="rId6" Type="http://schemas.openxmlformats.org/officeDocument/2006/relationships/chart" Target="../charts/chart159.xml"/><Relationship Id="rId5" Type="http://schemas.openxmlformats.org/officeDocument/2006/relationships/chart" Target="../charts/chart158.xml"/><Relationship Id="rId4" Type="http://schemas.openxmlformats.org/officeDocument/2006/relationships/image" Target="../media/image3.png"/><Relationship Id="rId9" Type="http://schemas.openxmlformats.org/officeDocument/2006/relationships/chart" Target="../charts/chart162.xml"/></Relationships>
</file>

<file path=xl/drawings/_rels/drawing132.xml.rels><?xml version="1.0" encoding="UTF-8" standalone="yes"?>
<Relationships xmlns="http://schemas.openxmlformats.org/package/2006/relationships"><Relationship Id="rId8" Type="http://schemas.openxmlformats.org/officeDocument/2006/relationships/chart" Target="../charts/chart166.xml"/><Relationship Id="rId3" Type="http://schemas.openxmlformats.org/officeDocument/2006/relationships/image" Target="../media/image4.png"/><Relationship Id="rId7" Type="http://schemas.openxmlformats.org/officeDocument/2006/relationships/chart" Target="../charts/chart165.xml"/><Relationship Id="rId2" Type="http://schemas.openxmlformats.org/officeDocument/2006/relationships/hyperlink" Target="#Index!A1"/><Relationship Id="rId1" Type="http://schemas.openxmlformats.org/officeDocument/2006/relationships/image" Target="../media/image1.gif"/><Relationship Id="rId6" Type="http://schemas.openxmlformats.org/officeDocument/2006/relationships/chart" Target="../charts/chart164.xml"/><Relationship Id="rId5" Type="http://schemas.openxmlformats.org/officeDocument/2006/relationships/chart" Target="../charts/chart163.xml"/><Relationship Id="rId4" Type="http://schemas.openxmlformats.org/officeDocument/2006/relationships/image" Target="../media/image5.png"/><Relationship Id="rId9" Type="http://schemas.openxmlformats.org/officeDocument/2006/relationships/chart" Target="../charts/chart167.xml"/></Relationships>
</file>

<file path=xl/drawings/_rels/drawing138.xml.rels><?xml version="1.0" encoding="UTF-8" standalone="yes"?>
<Relationships xmlns="http://schemas.openxmlformats.org/package/2006/relationships"><Relationship Id="rId2" Type="http://schemas.openxmlformats.org/officeDocument/2006/relationships/hyperlink" Target="#Index!A1"/><Relationship Id="rId1" Type="http://schemas.openxmlformats.org/officeDocument/2006/relationships/image" Target="../media/image1.gif"/></Relationships>
</file>

<file path=xl/drawings/_rels/drawing139.xml.rels><?xml version="1.0" encoding="UTF-8" standalone="yes"?>
<Relationships xmlns="http://schemas.openxmlformats.org/package/2006/relationships"><Relationship Id="rId3" Type="http://schemas.openxmlformats.org/officeDocument/2006/relationships/hyperlink" Target="#Index!A1"/><Relationship Id="rId2" Type="http://schemas.openxmlformats.org/officeDocument/2006/relationships/image" Target="../media/image2.jpeg"/><Relationship Id="rId1" Type="http://schemas.openxmlformats.org/officeDocument/2006/relationships/image" Target="../media/image1.gif"/></Relationships>
</file>

<file path=xl/drawings/_rels/drawing140.xml.rels><?xml version="1.0" encoding="UTF-8" standalone="yes"?>
<Relationships xmlns="http://schemas.openxmlformats.org/package/2006/relationships"><Relationship Id="rId8" Type="http://schemas.openxmlformats.org/officeDocument/2006/relationships/hyperlink" Target="#Index!A1"/><Relationship Id="rId3" Type="http://schemas.openxmlformats.org/officeDocument/2006/relationships/chart" Target="../charts/chart170.xml"/><Relationship Id="rId7" Type="http://schemas.openxmlformats.org/officeDocument/2006/relationships/chart" Target="../charts/chart174.xml"/><Relationship Id="rId2" Type="http://schemas.openxmlformats.org/officeDocument/2006/relationships/chart" Target="../charts/chart169.xml"/><Relationship Id="rId1" Type="http://schemas.openxmlformats.org/officeDocument/2006/relationships/chart" Target="../charts/chart168.xml"/><Relationship Id="rId6" Type="http://schemas.openxmlformats.org/officeDocument/2006/relationships/chart" Target="../charts/chart173.xml"/><Relationship Id="rId5" Type="http://schemas.openxmlformats.org/officeDocument/2006/relationships/chart" Target="../charts/chart172.xml"/><Relationship Id="rId4" Type="http://schemas.openxmlformats.org/officeDocument/2006/relationships/chart" Target="../charts/chart171.xml"/></Relationships>
</file>

<file path=xl/drawings/_rels/drawing141.xml.rels><?xml version="1.0" encoding="UTF-8" standalone="yes"?>
<Relationships xmlns="http://schemas.openxmlformats.org/package/2006/relationships"><Relationship Id="rId8" Type="http://schemas.openxmlformats.org/officeDocument/2006/relationships/chart" Target="../charts/chart182.xml"/><Relationship Id="rId13" Type="http://schemas.openxmlformats.org/officeDocument/2006/relationships/chart" Target="../charts/chart187.xml"/><Relationship Id="rId18" Type="http://schemas.openxmlformats.org/officeDocument/2006/relationships/chart" Target="../charts/chart192.xml"/><Relationship Id="rId26" Type="http://schemas.openxmlformats.org/officeDocument/2006/relationships/chart" Target="../charts/chart200.xml"/><Relationship Id="rId3" Type="http://schemas.openxmlformats.org/officeDocument/2006/relationships/chart" Target="../charts/chart177.xml"/><Relationship Id="rId21" Type="http://schemas.openxmlformats.org/officeDocument/2006/relationships/chart" Target="../charts/chart195.xml"/><Relationship Id="rId7" Type="http://schemas.openxmlformats.org/officeDocument/2006/relationships/chart" Target="../charts/chart181.xml"/><Relationship Id="rId12" Type="http://schemas.openxmlformats.org/officeDocument/2006/relationships/chart" Target="../charts/chart186.xml"/><Relationship Id="rId17" Type="http://schemas.openxmlformats.org/officeDocument/2006/relationships/chart" Target="../charts/chart191.xml"/><Relationship Id="rId25" Type="http://schemas.openxmlformats.org/officeDocument/2006/relationships/chart" Target="../charts/chart199.xml"/><Relationship Id="rId33" Type="http://schemas.openxmlformats.org/officeDocument/2006/relationships/hyperlink" Target="#Index!A1"/><Relationship Id="rId2" Type="http://schemas.openxmlformats.org/officeDocument/2006/relationships/chart" Target="../charts/chart176.xml"/><Relationship Id="rId16" Type="http://schemas.openxmlformats.org/officeDocument/2006/relationships/chart" Target="../charts/chart190.xml"/><Relationship Id="rId20" Type="http://schemas.openxmlformats.org/officeDocument/2006/relationships/chart" Target="../charts/chart194.xml"/><Relationship Id="rId29" Type="http://schemas.openxmlformats.org/officeDocument/2006/relationships/chart" Target="../charts/chart203.xml"/><Relationship Id="rId1" Type="http://schemas.openxmlformats.org/officeDocument/2006/relationships/chart" Target="../charts/chart175.xml"/><Relationship Id="rId6" Type="http://schemas.openxmlformats.org/officeDocument/2006/relationships/chart" Target="../charts/chart180.xml"/><Relationship Id="rId11" Type="http://schemas.openxmlformats.org/officeDocument/2006/relationships/chart" Target="../charts/chart185.xml"/><Relationship Id="rId24" Type="http://schemas.openxmlformats.org/officeDocument/2006/relationships/chart" Target="../charts/chart198.xml"/><Relationship Id="rId32" Type="http://schemas.openxmlformats.org/officeDocument/2006/relationships/chart" Target="../charts/chart206.xml"/><Relationship Id="rId5" Type="http://schemas.openxmlformats.org/officeDocument/2006/relationships/chart" Target="../charts/chart179.xml"/><Relationship Id="rId15" Type="http://schemas.openxmlformats.org/officeDocument/2006/relationships/chart" Target="../charts/chart189.xml"/><Relationship Id="rId23" Type="http://schemas.openxmlformats.org/officeDocument/2006/relationships/chart" Target="../charts/chart197.xml"/><Relationship Id="rId28" Type="http://schemas.openxmlformats.org/officeDocument/2006/relationships/chart" Target="../charts/chart202.xml"/><Relationship Id="rId10" Type="http://schemas.openxmlformats.org/officeDocument/2006/relationships/chart" Target="../charts/chart184.xml"/><Relationship Id="rId19" Type="http://schemas.openxmlformats.org/officeDocument/2006/relationships/chart" Target="../charts/chart193.xml"/><Relationship Id="rId31" Type="http://schemas.openxmlformats.org/officeDocument/2006/relationships/chart" Target="../charts/chart205.xml"/><Relationship Id="rId4" Type="http://schemas.openxmlformats.org/officeDocument/2006/relationships/chart" Target="../charts/chart178.xml"/><Relationship Id="rId9" Type="http://schemas.openxmlformats.org/officeDocument/2006/relationships/chart" Target="../charts/chart183.xml"/><Relationship Id="rId14" Type="http://schemas.openxmlformats.org/officeDocument/2006/relationships/chart" Target="../charts/chart188.xml"/><Relationship Id="rId22" Type="http://schemas.openxmlformats.org/officeDocument/2006/relationships/chart" Target="../charts/chart196.xml"/><Relationship Id="rId27" Type="http://schemas.openxmlformats.org/officeDocument/2006/relationships/chart" Target="../charts/chart201.xml"/><Relationship Id="rId30" Type="http://schemas.openxmlformats.org/officeDocument/2006/relationships/chart" Target="../charts/chart204.xml"/></Relationships>
</file>

<file path=xl/drawings/_rels/drawing16.xml.rels><?xml version="1.0" encoding="UTF-8" standalone="yes"?>
<Relationships xmlns="http://schemas.openxmlformats.org/package/2006/relationships"><Relationship Id="rId1" Type="http://schemas.openxmlformats.org/officeDocument/2006/relationships/hyperlink" Target="#Index!A1"/></Relationships>
</file>

<file path=xl/drawings/_rels/drawing17.xml.rels><?xml version="1.0" encoding="UTF-8" standalone="yes"?>
<Relationships xmlns="http://schemas.openxmlformats.org/package/2006/relationships"><Relationship Id="rId3" Type="http://schemas.openxmlformats.org/officeDocument/2006/relationships/chart" Target="../charts/chart19.xml"/><Relationship Id="rId7" Type="http://schemas.openxmlformats.org/officeDocument/2006/relationships/hyperlink" Target="#Index!A1"/><Relationship Id="rId2" Type="http://schemas.openxmlformats.org/officeDocument/2006/relationships/chart" Target="../charts/chart18.xml"/><Relationship Id="rId1" Type="http://schemas.openxmlformats.org/officeDocument/2006/relationships/chart" Target="../charts/chart17.xml"/><Relationship Id="rId6" Type="http://schemas.openxmlformats.org/officeDocument/2006/relationships/chart" Target="../charts/chart22.xml"/><Relationship Id="rId5" Type="http://schemas.openxmlformats.org/officeDocument/2006/relationships/chart" Target="../charts/chart21.xml"/><Relationship Id="rId4" Type="http://schemas.openxmlformats.org/officeDocument/2006/relationships/chart" Target="../charts/chart20.xml"/></Relationships>
</file>

<file path=xl/drawings/_rels/drawing18.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1.gif"/><Relationship Id="rId1" Type="http://schemas.openxmlformats.org/officeDocument/2006/relationships/hyperlink" Target="#Index!A1"/></Relationships>
</file>

<file path=xl/drawings/_rels/drawing19.xml.rels><?xml version="1.0" encoding="UTF-8" standalone="yes"?>
<Relationships xmlns="http://schemas.openxmlformats.org/package/2006/relationships"><Relationship Id="rId8" Type="http://schemas.openxmlformats.org/officeDocument/2006/relationships/chart" Target="../charts/chart29.xml"/><Relationship Id="rId3" Type="http://schemas.openxmlformats.org/officeDocument/2006/relationships/hyperlink" Target="#Index!A1"/><Relationship Id="rId7" Type="http://schemas.openxmlformats.org/officeDocument/2006/relationships/chart" Target="../charts/chart28.xml"/><Relationship Id="rId2" Type="http://schemas.openxmlformats.org/officeDocument/2006/relationships/chart" Target="../charts/chart24.xml"/><Relationship Id="rId1" Type="http://schemas.openxmlformats.org/officeDocument/2006/relationships/chart" Target="../charts/chart23.xml"/><Relationship Id="rId6" Type="http://schemas.openxmlformats.org/officeDocument/2006/relationships/chart" Target="../charts/chart27.xml"/><Relationship Id="rId11" Type="http://schemas.openxmlformats.org/officeDocument/2006/relationships/chart" Target="../charts/chart32.xml"/><Relationship Id="rId5" Type="http://schemas.openxmlformats.org/officeDocument/2006/relationships/chart" Target="../charts/chart26.xml"/><Relationship Id="rId10" Type="http://schemas.openxmlformats.org/officeDocument/2006/relationships/chart" Target="../charts/chart31.xml"/><Relationship Id="rId4" Type="http://schemas.openxmlformats.org/officeDocument/2006/relationships/chart" Target="../charts/chart25.xml"/><Relationship Id="rId9" Type="http://schemas.openxmlformats.org/officeDocument/2006/relationships/chart" Target="../charts/chart30.xml"/></Relationships>
</file>

<file path=xl/drawings/_rels/drawing2.xml.rels><?xml version="1.0" encoding="UTF-8" standalone="yes"?>
<Relationships xmlns="http://schemas.openxmlformats.org/package/2006/relationships"><Relationship Id="rId1" Type="http://schemas.openxmlformats.org/officeDocument/2006/relationships/hyperlink" Target="#Index!A1"/></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hyperlink" Target="#Index!A1"/><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30.xml.rels><?xml version="1.0" encoding="UTF-8" standalone="yes"?>
<Relationships xmlns="http://schemas.openxmlformats.org/package/2006/relationships"><Relationship Id="rId1" Type="http://schemas.openxmlformats.org/officeDocument/2006/relationships/hyperlink" Target="#Index!A1"/></Relationships>
</file>

<file path=xl/drawings/_rels/drawing31.xml.rels><?xml version="1.0" encoding="UTF-8" standalone="yes"?>
<Relationships xmlns="http://schemas.openxmlformats.org/package/2006/relationships"><Relationship Id="rId3" Type="http://schemas.openxmlformats.org/officeDocument/2006/relationships/chart" Target="../charts/chart35.xml"/><Relationship Id="rId7" Type="http://schemas.openxmlformats.org/officeDocument/2006/relationships/hyperlink" Target="#Index!A1"/><Relationship Id="rId2" Type="http://schemas.openxmlformats.org/officeDocument/2006/relationships/chart" Target="../charts/chart34.xml"/><Relationship Id="rId1" Type="http://schemas.openxmlformats.org/officeDocument/2006/relationships/chart" Target="../charts/chart33.xml"/><Relationship Id="rId6" Type="http://schemas.openxmlformats.org/officeDocument/2006/relationships/chart" Target="../charts/chart38.xml"/><Relationship Id="rId5" Type="http://schemas.openxmlformats.org/officeDocument/2006/relationships/chart" Target="../charts/chart37.xml"/><Relationship Id="rId4" Type="http://schemas.openxmlformats.org/officeDocument/2006/relationships/chart" Target="../charts/chart36.xml"/></Relationships>
</file>

<file path=xl/drawings/_rels/drawing32.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1.gif"/><Relationship Id="rId1" Type="http://schemas.openxmlformats.org/officeDocument/2006/relationships/hyperlink" Target="#Index!A1"/></Relationships>
</file>

<file path=xl/drawings/_rels/drawing33.xml.rels><?xml version="1.0" encoding="UTF-8" standalone="yes"?>
<Relationships xmlns="http://schemas.openxmlformats.org/package/2006/relationships"><Relationship Id="rId8" Type="http://schemas.openxmlformats.org/officeDocument/2006/relationships/chart" Target="../charts/chart45.xml"/><Relationship Id="rId13" Type="http://schemas.openxmlformats.org/officeDocument/2006/relationships/chart" Target="../charts/chart50.xml"/><Relationship Id="rId3" Type="http://schemas.openxmlformats.org/officeDocument/2006/relationships/chart" Target="../charts/chart40.xml"/><Relationship Id="rId7" Type="http://schemas.openxmlformats.org/officeDocument/2006/relationships/chart" Target="../charts/chart44.xml"/><Relationship Id="rId12" Type="http://schemas.openxmlformats.org/officeDocument/2006/relationships/chart" Target="../charts/chart49.xml"/><Relationship Id="rId17" Type="http://schemas.openxmlformats.org/officeDocument/2006/relationships/chart" Target="../charts/chart54.xml"/><Relationship Id="rId2" Type="http://schemas.openxmlformats.org/officeDocument/2006/relationships/chart" Target="../charts/chart39.xml"/><Relationship Id="rId16" Type="http://schemas.openxmlformats.org/officeDocument/2006/relationships/chart" Target="../charts/chart53.xml"/><Relationship Id="rId1" Type="http://schemas.openxmlformats.org/officeDocument/2006/relationships/hyperlink" Target="#Index!A1"/><Relationship Id="rId6" Type="http://schemas.openxmlformats.org/officeDocument/2006/relationships/chart" Target="../charts/chart43.xml"/><Relationship Id="rId11" Type="http://schemas.openxmlformats.org/officeDocument/2006/relationships/chart" Target="../charts/chart48.xml"/><Relationship Id="rId5" Type="http://schemas.openxmlformats.org/officeDocument/2006/relationships/chart" Target="../charts/chart42.xml"/><Relationship Id="rId15" Type="http://schemas.openxmlformats.org/officeDocument/2006/relationships/chart" Target="../charts/chart52.xml"/><Relationship Id="rId10" Type="http://schemas.openxmlformats.org/officeDocument/2006/relationships/chart" Target="../charts/chart47.xml"/><Relationship Id="rId4" Type="http://schemas.openxmlformats.org/officeDocument/2006/relationships/chart" Target="../charts/chart41.xml"/><Relationship Id="rId9" Type="http://schemas.openxmlformats.org/officeDocument/2006/relationships/chart" Target="../charts/chart46.xml"/><Relationship Id="rId14" Type="http://schemas.openxmlformats.org/officeDocument/2006/relationships/chart" Target="../charts/chart51.xml"/></Relationships>
</file>

<file path=xl/drawings/_rels/drawing4.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1.gif"/><Relationship Id="rId1" Type="http://schemas.openxmlformats.org/officeDocument/2006/relationships/hyperlink" Target="#Index!A1"/></Relationships>
</file>

<file path=xl/drawings/_rels/drawing5.xml.rels><?xml version="1.0" encoding="UTF-8" standalone="yes"?>
<Relationships xmlns="http://schemas.openxmlformats.org/package/2006/relationships"><Relationship Id="rId8" Type="http://schemas.openxmlformats.org/officeDocument/2006/relationships/chart" Target="../charts/chart14.xml"/><Relationship Id="rId3" Type="http://schemas.openxmlformats.org/officeDocument/2006/relationships/chart" Target="../charts/chart9.xml"/><Relationship Id="rId7" Type="http://schemas.openxmlformats.org/officeDocument/2006/relationships/chart" Target="../charts/chart13.xml"/><Relationship Id="rId2" Type="http://schemas.openxmlformats.org/officeDocument/2006/relationships/chart" Target="../charts/chart8.xml"/><Relationship Id="rId1" Type="http://schemas.openxmlformats.org/officeDocument/2006/relationships/chart" Target="../charts/chart7.xml"/><Relationship Id="rId6" Type="http://schemas.openxmlformats.org/officeDocument/2006/relationships/chart" Target="../charts/chart12.xml"/><Relationship Id="rId11" Type="http://schemas.openxmlformats.org/officeDocument/2006/relationships/hyperlink" Target="#Index!A1"/><Relationship Id="rId5" Type="http://schemas.openxmlformats.org/officeDocument/2006/relationships/chart" Target="../charts/chart11.xml"/><Relationship Id="rId10" Type="http://schemas.openxmlformats.org/officeDocument/2006/relationships/chart" Target="../charts/chart16.xml"/><Relationship Id="rId4" Type="http://schemas.openxmlformats.org/officeDocument/2006/relationships/chart" Target="../charts/chart10.xml"/><Relationship Id="rId9" Type="http://schemas.openxmlformats.org/officeDocument/2006/relationships/chart" Target="../charts/chart15.xml"/></Relationships>
</file>

<file path=xl/drawings/_rels/drawing50.xml.rels><?xml version="1.0" encoding="UTF-8" standalone="yes"?>
<Relationships xmlns="http://schemas.openxmlformats.org/package/2006/relationships"><Relationship Id="rId1" Type="http://schemas.openxmlformats.org/officeDocument/2006/relationships/hyperlink" Target="#Index!A1"/></Relationships>
</file>

<file path=xl/drawings/_rels/drawing51.xml.rels><?xml version="1.0" encoding="UTF-8" standalone="yes"?>
<Relationships xmlns="http://schemas.openxmlformats.org/package/2006/relationships"><Relationship Id="rId8" Type="http://schemas.openxmlformats.org/officeDocument/2006/relationships/hyperlink" Target="#Index!A1"/><Relationship Id="rId3" Type="http://schemas.openxmlformats.org/officeDocument/2006/relationships/chart" Target="../charts/chart57.xml"/><Relationship Id="rId7" Type="http://schemas.openxmlformats.org/officeDocument/2006/relationships/chart" Target="../charts/chart61.xml"/><Relationship Id="rId2" Type="http://schemas.openxmlformats.org/officeDocument/2006/relationships/chart" Target="../charts/chart56.xml"/><Relationship Id="rId1" Type="http://schemas.openxmlformats.org/officeDocument/2006/relationships/chart" Target="../charts/chart55.xml"/><Relationship Id="rId6" Type="http://schemas.openxmlformats.org/officeDocument/2006/relationships/chart" Target="../charts/chart60.xml"/><Relationship Id="rId5" Type="http://schemas.openxmlformats.org/officeDocument/2006/relationships/chart" Target="../charts/chart59.xml"/><Relationship Id="rId4" Type="http://schemas.openxmlformats.org/officeDocument/2006/relationships/chart" Target="../charts/chart58.xml"/></Relationships>
</file>

<file path=xl/drawings/_rels/drawing52.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1.gif"/><Relationship Id="rId1" Type="http://schemas.openxmlformats.org/officeDocument/2006/relationships/hyperlink" Target="#Index!A1"/></Relationships>
</file>

<file path=xl/drawings/_rels/drawing53.xml.rels><?xml version="1.0" encoding="UTF-8" standalone="yes"?>
<Relationships xmlns="http://schemas.openxmlformats.org/package/2006/relationships"><Relationship Id="rId8" Type="http://schemas.openxmlformats.org/officeDocument/2006/relationships/chart" Target="../charts/chart68.xml"/><Relationship Id="rId13" Type="http://schemas.openxmlformats.org/officeDocument/2006/relationships/chart" Target="../charts/chart73.xml"/><Relationship Id="rId3" Type="http://schemas.openxmlformats.org/officeDocument/2006/relationships/chart" Target="../charts/chart63.xml"/><Relationship Id="rId7" Type="http://schemas.openxmlformats.org/officeDocument/2006/relationships/chart" Target="../charts/chart67.xml"/><Relationship Id="rId12" Type="http://schemas.openxmlformats.org/officeDocument/2006/relationships/chart" Target="../charts/chart72.xml"/><Relationship Id="rId17" Type="http://schemas.openxmlformats.org/officeDocument/2006/relationships/chart" Target="../charts/chart77.xml"/><Relationship Id="rId2" Type="http://schemas.openxmlformats.org/officeDocument/2006/relationships/chart" Target="../charts/chart62.xml"/><Relationship Id="rId16" Type="http://schemas.openxmlformats.org/officeDocument/2006/relationships/chart" Target="../charts/chart76.xml"/><Relationship Id="rId1" Type="http://schemas.openxmlformats.org/officeDocument/2006/relationships/hyperlink" Target="#Index!A1"/><Relationship Id="rId6" Type="http://schemas.openxmlformats.org/officeDocument/2006/relationships/chart" Target="../charts/chart66.xml"/><Relationship Id="rId11" Type="http://schemas.openxmlformats.org/officeDocument/2006/relationships/chart" Target="../charts/chart71.xml"/><Relationship Id="rId5" Type="http://schemas.openxmlformats.org/officeDocument/2006/relationships/chart" Target="../charts/chart65.xml"/><Relationship Id="rId15" Type="http://schemas.openxmlformats.org/officeDocument/2006/relationships/chart" Target="../charts/chart75.xml"/><Relationship Id="rId10" Type="http://schemas.openxmlformats.org/officeDocument/2006/relationships/chart" Target="../charts/chart70.xml"/><Relationship Id="rId4" Type="http://schemas.openxmlformats.org/officeDocument/2006/relationships/chart" Target="../charts/chart64.xml"/><Relationship Id="rId9" Type="http://schemas.openxmlformats.org/officeDocument/2006/relationships/chart" Target="../charts/chart69.xml"/><Relationship Id="rId14" Type="http://schemas.openxmlformats.org/officeDocument/2006/relationships/chart" Target="../charts/chart74.xml"/></Relationships>
</file>

<file path=xl/drawings/_rels/drawing70.xml.rels><?xml version="1.0" encoding="UTF-8" standalone="yes"?>
<Relationships xmlns="http://schemas.openxmlformats.org/package/2006/relationships"><Relationship Id="rId1" Type="http://schemas.openxmlformats.org/officeDocument/2006/relationships/hyperlink" Target="#Index!A1"/></Relationships>
</file>

<file path=xl/drawings/_rels/drawing71.xml.rels><?xml version="1.0" encoding="UTF-8" standalone="yes"?>
<Relationships xmlns="http://schemas.openxmlformats.org/package/2006/relationships"><Relationship Id="rId8" Type="http://schemas.openxmlformats.org/officeDocument/2006/relationships/chart" Target="../charts/chart85.xml"/><Relationship Id="rId3" Type="http://schemas.openxmlformats.org/officeDocument/2006/relationships/chart" Target="../charts/chart80.xml"/><Relationship Id="rId7" Type="http://schemas.openxmlformats.org/officeDocument/2006/relationships/chart" Target="../charts/chart84.xml"/><Relationship Id="rId2" Type="http://schemas.openxmlformats.org/officeDocument/2006/relationships/chart" Target="../charts/chart79.xml"/><Relationship Id="rId1" Type="http://schemas.openxmlformats.org/officeDocument/2006/relationships/chart" Target="../charts/chart78.xml"/><Relationship Id="rId6" Type="http://schemas.openxmlformats.org/officeDocument/2006/relationships/chart" Target="../charts/chart83.xml"/><Relationship Id="rId5" Type="http://schemas.openxmlformats.org/officeDocument/2006/relationships/chart" Target="../charts/chart82.xml"/><Relationship Id="rId4" Type="http://schemas.openxmlformats.org/officeDocument/2006/relationships/chart" Target="../charts/chart81.xml"/><Relationship Id="rId9" Type="http://schemas.openxmlformats.org/officeDocument/2006/relationships/hyperlink" Target="#Index!A1"/></Relationships>
</file>

<file path=xl/drawings/_rels/drawing72.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1.gif"/><Relationship Id="rId1" Type="http://schemas.openxmlformats.org/officeDocument/2006/relationships/hyperlink" Target="#Index!A1"/></Relationships>
</file>

<file path=xl/drawings/_rels/drawing73.xml.rels><?xml version="1.0" encoding="UTF-8" standalone="yes"?>
<Relationships xmlns="http://schemas.openxmlformats.org/package/2006/relationships"><Relationship Id="rId8" Type="http://schemas.openxmlformats.org/officeDocument/2006/relationships/chart" Target="../charts/chart92.xml"/><Relationship Id="rId13" Type="http://schemas.openxmlformats.org/officeDocument/2006/relationships/chart" Target="../charts/chart97.xml"/><Relationship Id="rId3" Type="http://schemas.openxmlformats.org/officeDocument/2006/relationships/chart" Target="../charts/chart87.xml"/><Relationship Id="rId7" Type="http://schemas.openxmlformats.org/officeDocument/2006/relationships/chart" Target="../charts/chart91.xml"/><Relationship Id="rId12" Type="http://schemas.openxmlformats.org/officeDocument/2006/relationships/chart" Target="../charts/chart96.xml"/><Relationship Id="rId17" Type="http://schemas.openxmlformats.org/officeDocument/2006/relationships/chart" Target="../charts/chart101.xml"/><Relationship Id="rId2" Type="http://schemas.openxmlformats.org/officeDocument/2006/relationships/chart" Target="../charts/chart86.xml"/><Relationship Id="rId16" Type="http://schemas.openxmlformats.org/officeDocument/2006/relationships/chart" Target="../charts/chart100.xml"/><Relationship Id="rId1" Type="http://schemas.openxmlformats.org/officeDocument/2006/relationships/hyperlink" Target="#Index!A1"/><Relationship Id="rId6" Type="http://schemas.openxmlformats.org/officeDocument/2006/relationships/chart" Target="../charts/chart90.xml"/><Relationship Id="rId11" Type="http://schemas.openxmlformats.org/officeDocument/2006/relationships/chart" Target="../charts/chart95.xml"/><Relationship Id="rId5" Type="http://schemas.openxmlformats.org/officeDocument/2006/relationships/chart" Target="../charts/chart89.xml"/><Relationship Id="rId15" Type="http://schemas.openxmlformats.org/officeDocument/2006/relationships/chart" Target="../charts/chart99.xml"/><Relationship Id="rId10" Type="http://schemas.openxmlformats.org/officeDocument/2006/relationships/chart" Target="../charts/chart94.xml"/><Relationship Id="rId4" Type="http://schemas.openxmlformats.org/officeDocument/2006/relationships/chart" Target="../charts/chart88.xml"/><Relationship Id="rId9" Type="http://schemas.openxmlformats.org/officeDocument/2006/relationships/chart" Target="../charts/chart93.xml"/><Relationship Id="rId14" Type="http://schemas.openxmlformats.org/officeDocument/2006/relationships/chart" Target="../charts/chart98.xml"/></Relationships>
</file>

<file path=xl/drawings/_rels/drawing90.xml.rels><?xml version="1.0" encoding="UTF-8" standalone="yes"?>
<Relationships xmlns="http://schemas.openxmlformats.org/package/2006/relationships"><Relationship Id="rId1" Type="http://schemas.openxmlformats.org/officeDocument/2006/relationships/hyperlink" Target="#Index!A1"/></Relationships>
</file>

<file path=xl/drawings/_rels/drawing91.xml.rels><?xml version="1.0" encoding="UTF-8" standalone="yes"?>
<Relationships xmlns="http://schemas.openxmlformats.org/package/2006/relationships"><Relationship Id="rId8" Type="http://schemas.openxmlformats.org/officeDocument/2006/relationships/hyperlink" Target="#Index!A1"/><Relationship Id="rId3" Type="http://schemas.openxmlformats.org/officeDocument/2006/relationships/chart" Target="../charts/chart104.xml"/><Relationship Id="rId7" Type="http://schemas.openxmlformats.org/officeDocument/2006/relationships/chart" Target="../charts/chart108.xml"/><Relationship Id="rId2" Type="http://schemas.openxmlformats.org/officeDocument/2006/relationships/chart" Target="../charts/chart103.xml"/><Relationship Id="rId1" Type="http://schemas.openxmlformats.org/officeDocument/2006/relationships/chart" Target="../charts/chart102.xml"/><Relationship Id="rId6" Type="http://schemas.openxmlformats.org/officeDocument/2006/relationships/chart" Target="../charts/chart107.xml"/><Relationship Id="rId5" Type="http://schemas.openxmlformats.org/officeDocument/2006/relationships/chart" Target="../charts/chart106.xml"/><Relationship Id="rId4" Type="http://schemas.openxmlformats.org/officeDocument/2006/relationships/chart" Target="../charts/chart105.xml"/></Relationships>
</file>

<file path=xl/drawings/_rels/drawing92.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1.gif"/><Relationship Id="rId1" Type="http://schemas.openxmlformats.org/officeDocument/2006/relationships/hyperlink" Target="#Index!A1"/></Relationships>
</file>

<file path=xl/drawings/_rels/drawing93.xml.rels><?xml version="1.0" encoding="UTF-8" standalone="yes"?>
<Relationships xmlns="http://schemas.openxmlformats.org/package/2006/relationships"><Relationship Id="rId8" Type="http://schemas.openxmlformats.org/officeDocument/2006/relationships/chart" Target="../charts/chart115.xml"/><Relationship Id="rId3" Type="http://schemas.openxmlformats.org/officeDocument/2006/relationships/chart" Target="../charts/chart110.xml"/><Relationship Id="rId7" Type="http://schemas.openxmlformats.org/officeDocument/2006/relationships/chart" Target="../charts/chart114.xml"/><Relationship Id="rId12" Type="http://schemas.openxmlformats.org/officeDocument/2006/relationships/chart" Target="../charts/chart119.xml"/><Relationship Id="rId2" Type="http://schemas.openxmlformats.org/officeDocument/2006/relationships/chart" Target="../charts/chart109.xml"/><Relationship Id="rId1" Type="http://schemas.openxmlformats.org/officeDocument/2006/relationships/hyperlink" Target="#Index!A1"/><Relationship Id="rId6" Type="http://schemas.openxmlformats.org/officeDocument/2006/relationships/chart" Target="../charts/chart113.xml"/><Relationship Id="rId11" Type="http://schemas.openxmlformats.org/officeDocument/2006/relationships/chart" Target="../charts/chart118.xml"/><Relationship Id="rId5" Type="http://schemas.openxmlformats.org/officeDocument/2006/relationships/chart" Target="../charts/chart112.xml"/><Relationship Id="rId10" Type="http://schemas.openxmlformats.org/officeDocument/2006/relationships/chart" Target="../charts/chart117.xml"/><Relationship Id="rId4" Type="http://schemas.openxmlformats.org/officeDocument/2006/relationships/chart" Target="../charts/chart111.xml"/><Relationship Id="rId9" Type="http://schemas.openxmlformats.org/officeDocument/2006/relationships/chart" Target="../charts/chart116.xml"/></Relationships>
</file>

<file path=xl/drawings/drawing1.xml><?xml version="1.0" encoding="utf-8"?>
<xdr:wsDr xmlns:xdr="http://schemas.openxmlformats.org/drawingml/2006/spreadsheetDrawing" xmlns:a="http://schemas.openxmlformats.org/drawingml/2006/main">
  <xdr:twoCellAnchor>
    <xdr:from>
      <xdr:col>0</xdr:col>
      <xdr:colOff>200023</xdr:colOff>
      <xdr:row>2</xdr:row>
      <xdr:rowOff>76200</xdr:rowOff>
    </xdr:from>
    <xdr:to>
      <xdr:col>2</xdr:col>
      <xdr:colOff>542924</xdr:colOff>
      <xdr:row>4</xdr:row>
      <xdr:rowOff>57150</xdr:rowOff>
    </xdr:to>
    <xdr:sp macro="" textlink="">
      <xdr:nvSpPr>
        <xdr:cNvPr id="2" name="Bisel 1">
          <a:hlinkClick xmlns:r="http://schemas.openxmlformats.org/officeDocument/2006/relationships" r:id="rId1"/>
        </xdr:cNvPr>
        <xdr:cNvSpPr/>
      </xdr:nvSpPr>
      <xdr:spPr>
        <a:xfrm>
          <a:off x="200023" y="457200"/>
          <a:ext cx="1562101" cy="36195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PT" sz="1100"/>
            <a:t>2015 - Descrição</a:t>
          </a:r>
        </a:p>
      </xdr:txBody>
    </xdr:sp>
    <xdr:clientData/>
  </xdr:twoCellAnchor>
  <xdr:twoCellAnchor>
    <xdr:from>
      <xdr:col>0</xdr:col>
      <xdr:colOff>180974</xdr:colOff>
      <xdr:row>5</xdr:row>
      <xdr:rowOff>0</xdr:rowOff>
    </xdr:from>
    <xdr:to>
      <xdr:col>2</xdr:col>
      <xdr:colOff>533400</xdr:colOff>
      <xdr:row>6</xdr:row>
      <xdr:rowOff>171450</xdr:rowOff>
    </xdr:to>
    <xdr:sp macro="" textlink="">
      <xdr:nvSpPr>
        <xdr:cNvPr id="10" name="Bisel 9">
          <a:hlinkClick xmlns:r="http://schemas.openxmlformats.org/officeDocument/2006/relationships" r:id="rId2"/>
        </xdr:cNvPr>
        <xdr:cNvSpPr/>
      </xdr:nvSpPr>
      <xdr:spPr>
        <a:xfrm>
          <a:off x="180974" y="952500"/>
          <a:ext cx="1571626" cy="36195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PT" sz="1100"/>
            <a:t>2015 - Graficos</a:t>
          </a:r>
        </a:p>
      </xdr:txBody>
    </xdr:sp>
    <xdr:clientData/>
  </xdr:twoCellAnchor>
  <xdr:twoCellAnchor>
    <xdr:from>
      <xdr:col>0</xdr:col>
      <xdr:colOff>180973</xdr:colOff>
      <xdr:row>7</xdr:row>
      <xdr:rowOff>104775</xdr:rowOff>
    </xdr:from>
    <xdr:to>
      <xdr:col>2</xdr:col>
      <xdr:colOff>523874</xdr:colOff>
      <xdr:row>9</xdr:row>
      <xdr:rowOff>85725</xdr:rowOff>
    </xdr:to>
    <xdr:sp macro="" textlink="">
      <xdr:nvSpPr>
        <xdr:cNvPr id="11" name="Bisel 10">
          <a:hlinkClick xmlns:r="http://schemas.openxmlformats.org/officeDocument/2006/relationships" r:id="rId3"/>
        </xdr:cNvPr>
        <xdr:cNvSpPr/>
      </xdr:nvSpPr>
      <xdr:spPr>
        <a:xfrm>
          <a:off x="180973" y="1438275"/>
          <a:ext cx="1562101" cy="36195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PT" sz="1100"/>
            <a:t>2015 - MTBF, ...</a:t>
          </a:r>
        </a:p>
      </xdr:txBody>
    </xdr:sp>
    <xdr:clientData/>
  </xdr:twoCellAnchor>
  <xdr:twoCellAnchor>
    <xdr:from>
      <xdr:col>0</xdr:col>
      <xdr:colOff>161923</xdr:colOff>
      <xdr:row>10</xdr:row>
      <xdr:rowOff>19050</xdr:rowOff>
    </xdr:from>
    <xdr:to>
      <xdr:col>2</xdr:col>
      <xdr:colOff>523874</xdr:colOff>
      <xdr:row>12</xdr:row>
      <xdr:rowOff>0</xdr:rowOff>
    </xdr:to>
    <xdr:sp macro="" textlink="">
      <xdr:nvSpPr>
        <xdr:cNvPr id="12" name="Bisel 11">
          <a:hlinkClick xmlns:r="http://schemas.openxmlformats.org/officeDocument/2006/relationships" r:id="rId4"/>
        </xdr:cNvPr>
        <xdr:cNvSpPr/>
      </xdr:nvSpPr>
      <xdr:spPr>
        <a:xfrm>
          <a:off x="161923" y="1924050"/>
          <a:ext cx="1581151" cy="36195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PT" sz="1100"/>
            <a:t>2015 - Ciclo Operação</a:t>
          </a:r>
        </a:p>
      </xdr:txBody>
    </xdr:sp>
    <xdr:clientData/>
  </xdr:twoCellAnchor>
  <xdr:twoCellAnchor>
    <xdr:from>
      <xdr:col>3</xdr:col>
      <xdr:colOff>190498</xdr:colOff>
      <xdr:row>2</xdr:row>
      <xdr:rowOff>76200</xdr:rowOff>
    </xdr:from>
    <xdr:to>
      <xdr:col>5</xdr:col>
      <xdr:colOff>533399</xdr:colOff>
      <xdr:row>4</xdr:row>
      <xdr:rowOff>57150</xdr:rowOff>
    </xdr:to>
    <xdr:sp macro="" textlink="">
      <xdr:nvSpPr>
        <xdr:cNvPr id="15" name="Bisel 14">
          <a:hlinkClick xmlns:r="http://schemas.openxmlformats.org/officeDocument/2006/relationships" r:id="rId5"/>
        </xdr:cNvPr>
        <xdr:cNvSpPr/>
      </xdr:nvSpPr>
      <xdr:spPr>
        <a:xfrm>
          <a:off x="2019298" y="457200"/>
          <a:ext cx="1562101" cy="36195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PT" sz="1100"/>
            <a:t>2014 - Descrição</a:t>
          </a:r>
        </a:p>
      </xdr:txBody>
    </xdr:sp>
    <xdr:clientData/>
  </xdr:twoCellAnchor>
  <xdr:twoCellAnchor>
    <xdr:from>
      <xdr:col>3</xdr:col>
      <xdr:colOff>171449</xdr:colOff>
      <xdr:row>5</xdr:row>
      <xdr:rowOff>0</xdr:rowOff>
    </xdr:from>
    <xdr:to>
      <xdr:col>5</xdr:col>
      <xdr:colOff>523875</xdr:colOff>
      <xdr:row>6</xdr:row>
      <xdr:rowOff>171450</xdr:rowOff>
    </xdr:to>
    <xdr:sp macro="" textlink="">
      <xdr:nvSpPr>
        <xdr:cNvPr id="16" name="Bisel 15">
          <a:hlinkClick xmlns:r="http://schemas.openxmlformats.org/officeDocument/2006/relationships" r:id="rId6"/>
        </xdr:cNvPr>
        <xdr:cNvSpPr/>
      </xdr:nvSpPr>
      <xdr:spPr>
        <a:xfrm>
          <a:off x="2000249" y="952500"/>
          <a:ext cx="1571626" cy="36195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PT" sz="1100"/>
            <a:t>2014 - Graficos</a:t>
          </a:r>
        </a:p>
      </xdr:txBody>
    </xdr:sp>
    <xdr:clientData/>
  </xdr:twoCellAnchor>
  <xdr:twoCellAnchor>
    <xdr:from>
      <xdr:col>3</xdr:col>
      <xdr:colOff>171448</xdr:colOff>
      <xdr:row>7</xdr:row>
      <xdr:rowOff>104775</xdr:rowOff>
    </xdr:from>
    <xdr:to>
      <xdr:col>5</xdr:col>
      <xdr:colOff>514349</xdr:colOff>
      <xdr:row>9</xdr:row>
      <xdr:rowOff>85725</xdr:rowOff>
    </xdr:to>
    <xdr:sp macro="" textlink="">
      <xdr:nvSpPr>
        <xdr:cNvPr id="17" name="Bisel 16">
          <a:hlinkClick xmlns:r="http://schemas.openxmlformats.org/officeDocument/2006/relationships" r:id="rId7"/>
        </xdr:cNvPr>
        <xdr:cNvSpPr/>
      </xdr:nvSpPr>
      <xdr:spPr>
        <a:xfrm>
          <a:off x="2000248" y="1438275"/>
          <a:ext cx="1562101" cy="36195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PT" sz="1100">
              <a:solidFill>
                <a:schemeClr val="bg1"/>
              </a:solidFill>
            </a:rPr>
            <a:t>2014 - MTBF, ...</a:t>
          </a:r>
        </a:p>
      </xdr:txBody>
    </xdr:sp>
    <xdr:clientData/>
  </xdr:twoCellAnchor>
  <xdr:twoCellAnchor>
    <xdr:from>
      <xdr:col>3</xdr:col>
      <xdr:colOff>152398</xdr:colOff>
      <xdr:row>10</xdr:row>
      <xdr:rowOff>19050</xdr:rowOff>
    </xdr:from>
    <xdr:to>
      <xdr:col>5</xdr:col>
      <xdr:colOff>514349</xdr:colOff>
      <xdr:row>12</xdr:row>
      <xdr:rowOff>0</xdr:rowOff>
    </xdr:to>
    <xdr:sp macro="" textlink="">
      <xdr:nvSpPr>
        <xdr:cNvPr id="18" name="Bisel 17">
          <a:hlinkClick xmlns:r="http://schemas.openxmlformats.org/officeDocument/2006/relationships" r:id="rId8"/>
        </xdr:cNvPr>
        <xdr:cNvSpPr/>
      </xdr:nvSpPr>
      <xdr:spPr>
        <a:xfrm>
          <a:off x="1981198" y="1924050"/>
          <a:ext cx="1581151" cy="36195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PT" sz="1100">
              <a:solidFill>
                <a:schemeClr val="bg1"/>
              </a:solidFill>
            </a:rPr>
            <a:t>2014 - Ciclo Operação</a:t>
          </a:r>
        </a:p>
      </xdr:txBody>
    </xdr:sp>
    <xdr:clientData/>
  </xdr:twoCellAnchor>
  <xdr:twoCellAnchor>
    <xdr:from>
      <xdr:col>6</xdr:col>
      <xdr:colOff>228598</xdr:colOff>
      <xdr:row>2</xdr:row>
      <xdr:rowOff>76200</xdr:rowOff>
    </xdr:from>
    <xdr:to>
      <xdr:col>8</xdr:col>
      <xdr:colOff>571499</xdr:colOff>
      <xdr:row>4</xdr:row>
      <xdr:rowOff>57150</xdr:rowOff>
    </xdr:to>
    <xdr:sp macro="" textlink="">
      <xdr:nvSpPr>
        <xdr:cNvPr id="21" name="Bisel 20">
          <a:hlinkClick xmlns:r="http://schemas.openxmlformats.org/officeDocument/2006/relationships" r:id="rId9"/>
        </xdr:cNvPr>
        <xdr:cNvSpPr/>
      </xdr:nvSpPr>
      <xdr:spPr>
        <a:xfrm>
          <a:off x="3886198" y="457200"/>
          <a:ext cx="1562101" cy="36195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PT" sz="1100"/>
            <a:t>2013 - Descrição</a:t>
          </a:r>
        </a:p>
      </xdr:txBody>
    </xdr:sp>
    <xdr:clientData/>
  </xdr:twoCellAnchor>
  <xdr:twoCellAnchor>
    <xdr:from>
      <xdr:col>6</xdr:col>
      <xdr:colOff>209549</xdr:colOff>
      <xdr:row>5</xdr:row>
      <xdr:rowOff>0</xdr:rowOff>
    </xdr:from>
    <xdr:to>
      <xdr:col>8</xdr:col>
      <xdr:colOff>561975</xdr:colOff>
      <xdr:row>6</xdr:row>
      <xdr:rowOff>171450</xdr:rowOff>
    </xdr:to>
    <xdr:sp macro="" textlink="">
      <xdr:nvSpPr>
        <xdr:cNvPr id="22" name="Bisel 21">
          <a:hlinkClick xmlns:r="http://schemas.openxmlformats.org/officeDocument/2006/relationships" r:id="rId10"/>
        </xdr:cNvPr>
        <xdr:cNvSpPr/>
      </xdr:nvSpPr>
      <xdr:spPr>
        <a:xfrm>
          <a:off x="3867149" y="952500"/>
          <a:ext cx="1571626" cy="36195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PT" sz="1100"/>
            <a:t>2013 - Graficos</a:t>
          </a:r>
        </a:p>
      </xdr:txBody>
    </xdr:sp>
    <xdr:clientData/>
  </xdr:twoCellAnchor>
  <xdr:twoCellAnchor>
    <xdr:from>
      <xdr:col>6</xdr:col>
      <xdr:colOff>209548</xdr:colOff>
      <xdr:row>7</xdr:row>
      <xdr:rowOff>104775</xdr:rowOff>
    </xdr:from>
    <xdr:to>
      <xdr:col>8</xdr:col>
      <xdr:colOff>552449</xdr:colOff>
      <xdr:row>9</xdr:row>
      <xdr:rowOff>85725</xdr:rowOff>
    </xdr:to>
    <xdr:sp macro="" textlink="">
      <xdr:nvSpPr>
        <xdr:cNvPr id="23" name="Bisel 22">
          <a:hlinkClick xmlns:r="http://schemas.openxmlformats.org/officeDocument/2006/relationships" r:id="rId11"/>
        </xdr:cNvPr>
        <xdr:cNvSpPr/>
      </xdr:nvSpPr>
      <xdr:spPr>
        <a:xfrm>
          <a:off x="3867148" y="1438275"/>
          <a:ext cx="1562101" cy="36195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PT" sz="1100">
              <a:solidFill>
                <a:schemeClr val="bg1"/>
              </a:solidFill>
            </a:rPr>
            <a:t>2013 - MTBF, ...</a:t>
          </a:r>
        </a:p>
      </xdr:txBody>
    </xdr:sp>
    <xdr:clientData/>
  </xdr:twoCellAnchor>
  <xdr:twoCellAnchor>
    <xdr:from>
      <xdr:col>6</xdr:col>
      <xdr:colOff>190498</xdr:colOff>
      <xdr:row>10</xdr:row>
      <xdr:rowOff>19050</xdr:rowOff>
    </xdr:from>
    <xdr:to>
      <xdr:col>8</xdr:col>
      <xdr:colOff>552449</xdr:colOff>
      <xdr:row>12</xdr:row>
      <xdr:rowOff>0</xdr:rowOff>
    </xdr:to>
    <xdr:sp macro="" textlink="">
      <xdr:nvSpPr>
        <xdr:cNvPr id="24" name="Bisel 23">
          <a:hlinkClick xmlns:r="http://schemas.openxmlformats.org/officeDocument/2006/relationships" r:id="rId12"/>
        </xdr:cNvPr>
        <xdr:cNvSpPr/>
      </xdr:nvSpPr>
      <xdr:spPr>
        <a:xfrm>
          <a:off x="3848098" y="1924050"/>
          <a:ext cx="1581151" cy="36195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PT" sz="1100">
              <a:solidFill>
                <a:schemeClr val="bg1"/>
              </a:solidFill>
            </a:rPr>
            <a:t>2013 - Ciclo Operação</a:t>
          </a:r>
        </a:p>
      </xdr:txBody>
    </xdr:sp>
    <xdr:clientData/>
  </xdr:twoCellAnchor>
  <xdr:twoCellAnchor>
    <xdr:from>
      <xdr:col>9</xdr:col>
      <xdr:colOff>247648</xdr:colOff>
      <xdr:row>2</xdr:row>
      <xdr:rowOff>85725</xdr:rowOff>
    </xdr:from>
    <xdr:to>
      <xdr:col>11</xdr:col>
      <xdr:colOff>590549</xdr:colOff>
      <xdr:row>4</xdr:row>
      <xdr:rowOff>66675</xdr:rowOff>
    </xdr:to>
    <xdr:sp macro="" textlink="">
      <xdr:nvSpPr>
        <xdr:cNvPr id="27" name="Bisel 26">
          <a:hlinkClick xmlns:r="http://schemas.openxmlformats.org/officeDocument/2006/relationships" r:id="rId13"/>
        </xdr:cNvPr>
        <xdr:cNvSpPr/>
      </xdr:nvSpPr>
      <xdr:spPr>
        <a:xfrm>
          <a:off x="5734048" y="466725"/>
          <a:ext cx="1562101" cy="36195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PT" sz="1100"/>
            <a:t>2012 - Descrição</a:t>
          </a:r>
        </a:p>
      </xdr:txBody>
    </xdr:sp>
    <xdr:clientData/>
  </xdr:twoCellAnchor>
  <xdr:twoCellAnchor>
    <xdr:from>
      <xdr:col>9</xdr:col>
      <xdr:colOff>228599</xdr:colOff>
      <xdr:row>5</xdr:row>
      <xdr:rowOff>9525</xdr:rowOff>
    </xdr:from>
    <xdr:to>
      <xdr:col>11</xdr:col>
      <xdr:colOff>581025</xdr:colOff>
      <xdr:row>6</xdr:row>
      <xdr:rowOff>180975</xdr:rowOff>
    </xdr:to>
    <xdr:sp macro="" textlink="">
      <xdr:nvSpPr>
        <xdr:cNvPr id="28" name="Bisel 27">
          <a:hlinkClick xmlns:r="http://schemas.openxmlformats.org/officeDocument/2006/relationships" r:id="rId14"/>
        </xdr:cNvPr>
        <xdr:cNvSpPr/>
      </xdr:nvSpPr>
      <xdr:spPr>
        <a:xfrm>
          <a:off x="5714999" y="962025"/>
          <a:ext cx="1571626" cy="36195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PT" sz="1100"/>
            <a:t>2012 - Graficos</a:t>
          </a:r>
        </a:p>
      </xdr:txBody>
    </xdr:sp>
    <xdr:clientData/>
  </xdr:twoCellAnchor>
  <xdr:twoCellAnchor>
    <xdr:from>
      <xdr:col>9</xdr:col>
      <xdr:colOff>228598</xdr:colOff>
      <xdr:row>7</xdr:row>
      <xdr:rowOff>114300</xdr:rowOff>
    </xdr:from>
    <xdr:to>
      <xdr:col>11</xdr:col>
      <xdr:colOff>571499</xdr:colOff>
      <xdr:row>9</xdr:row>
      <xdr:rowOff>95250</xdr:rowOff>
    </xdr:to>
    <xdr:sp macro="" textlink="">
      <xdr:nvSpPr>
        <xdr:cNvPr id="29" name="Bisel 28">
          <a:hlinkClick xmlns:r="http://schemas.openxmlformats.org/officeDocument/2006/relationships" r:id="rId15"/>
        </xdr:cNvPr>
        <xdr:cNvSpPr/>
      </xdr:nvSpPr>
      <xdr:spPr>
        <a:xfrm>
          <a:off x="5714998" y="1447800"/>
          <a:ext cx="1562101" cy="36195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PT" sz="1100">
              <a:solidFill>
                <a:schemeClr val="bg1"/>
              </a:solidFill>
            </a:rPr>
            <a:t>2012 - MTBF, ...</a:t>
          </a:r>
        </a:p>
      </xdr:txBody>
    </xdr:sp>
    <xdr:clientData/>
  </xdr:twoCellAnchor>
  <xdr:twoCellAnchor>
    <xdr:from>
      <xdr:col>9</xdr:col>
      <xdr:colOff>209548</xdr:colOff>
      <xdr:row>10</xdr:row>
      <xdr:rowOff>28575</xdr:rowOff>
    </xdr:from>
    <xdr:to>
      <xdr:col>11</xdr:col>
      <xdr:colOff>571499</xdr:colOff>
      <xdr:row>12</xdr:row>
      <xdr:rowOff>9525</xdr:rowOff>
    </xdr:to>
    <xdr:sp macro="" textlink="">
      <xdr:nvSpPr>
        <xdr:cNvPr id="30" name="Bisel 29">
          <a:hlinkClick xmlns:r="http://schemas.openxmlformats.org/officeDocument/2006/relationships" r:id="rId16"/>
        </xdr:cNvPr>
        <xdr:cNvSpPr/>
      </xdr:nvSpPr>
      <xdr:spPr>
        <a:xfrm>
          <a:off x="5695948" y="1933575"/>
          <a:ext cx="1581151" cy="36195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PT" sz="1100">
              <a:solidFill>
                <a:schemeClr val="bg1"/>
              </a:solidFill>
            </a:rPr>
            <a:t>2012 - Ciclo Operação</a:t>
          </a:r>
        </a:p>
      </xdr:txBody>
    </xdr:sp>
    <xdr:clientData/>
  </xdr:twoCellAnchor>
  <xdr:twoCellAnchor>
    <xdr:from>
      <xdr:col>12</xdr:col>
      <xdr:colOff>257173</xdr:colOff>
      <xdr:row>2</xdr:row>
      <xdr:rowOff>85725</xdr:rowOff>
    </xdr:from>
    <xdr:to>
      <xdr:col>14</xdr:col>
      <xdr:colOff>600074</xdr:colOff>
      <xdr:row>4</xdr:row>
      <xdr:rowOff>66675</xdr:rowOff>
    </xdr:to>
    <xdr:sp macro="" textlink="">
      <xdr:nvSpPr>
        <xdr:cNvPr id="33" name="Bisel 32">
          <a:hlinkClick xmlns:r="http://schemas.openxmlformats.org/officeDocument/2006/relationships" r:id="rId17"/>
        </xdr:cNvPr>
        <xdr:cNvSpPr/>
      </xdr:nvSpPr>
      <xdr:spPr>
        <a:xfrm>
          <a:off x="7572373" y="466725"/>
          <a:ext cx="1562101" cy="36195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PT" sz="1100"/>
            <a:t>2011 - Descrição</a:t>
          </a:r>
        </a:p>
      </xdr:txBody>
    </xdr:sp>
    <xdr:clientData/>
  </xdr:twoCellAnchor>
  <xdr:twoCellAnchor>
    <xdr:from>
      <xdr:col>12</xdr:col>
      <xdr:colOff>238124</xdr:colOff>
      <xdr:row>5</xdr:row>
      <xdr:rowOff>9525</xdr:rowOff>
    </xdr:from>
    <xdr:to>
      <xdr:col>14</xdr:col>
      <xdr:colOff>590550</xdr:colOff>
      <xdr:row>6</xdr:row>
      <xdr:rowOff>180975</xdr:rowOff>
    </xdr:to>
    <xdr:sp macro="" textlink="">
      <xdr:nvSpPr>
        <xdr:cNvPr id="34" name="Bisel 33">
          <a:hlinkClick xmlns:r="http://schemas.openxmlformats.org/officeDocument/2006/relationships" r:id="rId18"/>
        </xdr:cNvPr>
        <xdr:cNvSpPr/>
      </xdr:nvSpPr>
      <xdr:spPr>
        <a:xfrm>
          <a:off x="7553324" y="962025"/>
          <a:ext cx="1571626" cy="36195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PT" sz="1100"/>
            <a:t>2011 - Graficos</a:t>
          </a:r>
        </a:p>
      </xdr:txBody>
    </xdr:sp>
    <xdr:clientData/>
  </xdr:twoCellAnchor>
  <xdr:twoCellAnchor>
    <xdr:from>
      <xdr:col>12</xdr:col>
      <xdr:colOff>238123</xdr:colOff>
      <xdr:row>7</xdr:row>
      <xdr:rowOff>114300</xdr:rowOff>
    </xdr:from>
    <xdr:to>
      <xdr:col>14</xdr:col>
      <xdr:colOff>581024</xdr:colOff>
      <xdr:row>9</xdr:row>
      <xdr:rowOff>95250</xdr:rowOff>
    </xdr:to>
    <xdr:sp macro="" textlink="">
      <xdr:nvSpPr>
        <xdr:cNvPr id="35" name="Bisel 34">
          <a:hlinkClick xmlns:r="http://schemas.openxmlformats.org/officeDocument/2006/relationships" r:id="rId19"/>
        </xdr:cNvPr>
        <xdr:cNvSpPr/>
      </xdr:nvSpPr>
      <xdr:spPr>
        <a:xfrm>
          <a:off x="7553323" y="1447800"/>
          <a:ext cx="1562101" cy="36195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PT" sz="1100"/>
            <a:t>2011 - MTBF, ...</a:t>
          </a:r>
        </a:p>
      </xdr:txBody>
    </xdr:sp>
    <xdr:clientData/>
  </xdr:twoCellAnchor>
  <xdr:twoCellAnchor>
    <xdr:from>
      <xdr:col>12</xdr:col>
      <xdr:colOff>219073</xdr:colOff>
      <xdr:row>10</xdr:row>
      <xdr:rowOff>28575</xdr:rowOff>
    </xdr:from>
    <xdr:to>
      <xdr:col>14</xdr:col>
      <xdr:colOff>581024</xdr:colOff>
      <xdr:row>12</xdr:row>
      <xdr:rowOff>9525</xdr:rowOff>
    </xdr:to>
    <xdr:sp macro="" textlink="">
      <xdr:nvSpPr>
        <xdr:cNvPr id="36" name="Bisel 35">
          <a:hlinkClick xmlns:r="http://schemas.openxmlformats.org/officeDocument/2006/relationships" r:id="rId20"/>
        </xdr:cNvPr>
        <xdr:cNvSpPr/>
      </xdr:nvSpPr>
      <xdr:spPr>
        <a:xfrm>
          <a:off x="7534273" y="1933575"/>
          <a:ext cx="1581151" cy="36195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PT" sz="1100">
              <a:solidFill>
                <a:schemeClr val="bg1"/>
              </a:solidFill>
            </a:rPr>
            <a:t>2011 - Ciclo Operação</a:t>
          </a:r>
        </a:p>
      </xdr:txBody>
    </xdr:sp>
    <xdr:clientData/>
  </xdr:twoCellAnchor>
  <xdr:twoCellAnchor>
    <xdr:from>
      <xdr:col>15</xdr:col>
      <xdr:colOff>266698</xdr:colOff>
      <xdr:row>2</xdr:row>
      <xdr:rowOff>85725</xdr:rowOff>
    </xdr:from>
    <xdr:to>
      <xdr:col>17</xdr:col>
      <xdr:colOff>609599</xdr:colOff>
      <xdr:row>4</xdr:row>
      <xdr:rowOff>66675</xdr:rowOff>
    </xdr:to>
    <xdr:sp macro="" textlink="">
      <xdr:nvSpPr>
        <xdr:cNvPr id="39" name="Bisel 38">
          <a:hlinkClick xmlns:r="http://schemas.openxmlformats.org/officeDocument/2006/relationships" r:id="rId21"/>
        </xdr:cNvPr>
        <xdr:cNvSpPr/>
      </xdr:nvSpPr>
      <xdr:spPr>
        <a:xfrm>
          <a:off x="9410698" y="466725"/>
          <a:ext cx="1562101" cy="36195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PT" sz="1100"/>
            <a:t>2010 - Descrição</a:t>
          </a:r>
        </a:p>
      </xdr:txBody>
    </xdr:sp>
    <xdr:clientData/>
  </xdr:twoCellAnchor>
  <xdr:twoCellAnchor>
    <xdr:from>
      <xdr:col>15</xdr:col>
      <xdr:colOff>247649</xdr:colOff>
      <xdr:row>5</xdr:row>
      <xdr:rowOff>9525</xdr:rowOff>
    </xdr:from>
    <xdr:to>
      <xdr:col>17</xdr:col>
      <xdr:colOff>600075</xdr:colOff>
      <xdr:row>6</xdr:row>
      <xdr:rowOff>180975</xdr:rowOff>
    </xdr:to>
    <xdr:sp macro="" textlink="">
      <xdr:nvSpPr>
        <xdr:cNvPr id="40" name="Bisel 39">
          <a:hlinkClick xmlns:r="http://schemas.openxmlformats.org/officeDocument/2006/relationships" r:id="rId22"/>
        </xdr:cNvPr>
        <xdr:cNvSpPr/>
      </xdr:nvSpPr>
      <xdr:spPr>
        <a:xfrm>
          <a:off x="9391649" y="962025"/>
          <a:ext cx="1571626" cy="36195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PT" sz="1100"/>
            <a:t>2010 - Graficos</a:t>
          </a:r>
        </a:p>
      </xdr:txBody>
    </xdr:sp>
    <xdr:clientData/>
  </xdr:twoCellAnchor>
  <xdr:twoCellAnchor>
    <xdr:from>
      <xdr:col>15</xdr:col>
      <xdr:colOff>247648</xdr:colOff>
      <xdr:row>7</xdr:row>
      <xdr:rowOff>114300</xdr:rowOff>
    </xdr:from>
    <xdr:to>
      <xdr:col>17</xdr:col>
      <xdr:colOff>590549</xdr:colOff>
      <xdr:row>9</xdr:row>
      <xdr:rowOff>95250</xdr:rowOff>
    </xdr:to>
    <xdr:sp macro="" textlink="">
      <xdr:nvSpPr>
        <xdr:cNvPr id="41" name="Bisel 40">
          <a:hlinkClick xmlns:r="http://schemas.openxmlformats.org/officeDocument/2006/relationships" r:id="rId23"/>
        </xdr:cNvPr>
        <xdr:cNvSpPr/>
      </xdr:nvSpPr>
      <xdr:spPr>
        <a:xfrm>
          <a:off x="9391648" y="1447800"/>
          <a:ext cx="1562101" cy="36195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PT" sz="1100"/>
            <a:t>2010 - MTBF, ...</a:t>
          </a:r>
        </a:p>
      </xdr:txBody>
    </xdr:sp>
    <xdr:clientData/>
  </xdr:twoCellAnchor>
  <xdr:twoCellAnchor>
    <xdr:from>
      <xdr:col>15</xdr:col>
      <xdr:colOff>228598</xdr:colOff>
      <xdr:row>10</xdr:row>
      <xdr:rowOff>28575</xdr:rowOff>
    </xdr:from>
    <xdr:to>
      <xdr:col>17</xdr:col>
      <xdr:colOff>590549</xdr:colOff>
      <xdr:row>12</xdr:row>
      <xdr:rowOff>9525</xdr:rowOff>
    </xdr:to>
    <xdr:sp macro="" textlink="">
      <xdr:nvSpPr>
        <xdr:cNvPr id="42" name="Bisel 41">
          <a:hlinkClick xmlns:r="http://schemas.openxmlformats.org/officeDocument/2006/relationships" r:id="rId24"/>
        </xdr:cNvPr>
        <xdr:cNvSpPr/>
      </xdr:nvSpPr>
      <xdr:spPr>
        <a:xfrm>
          <a:off x="9372598" y="1933575"/>
          <a:ext cx="1581151" cy="36195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PT" sz="1100">
              <a:solidFill>
                <a:schemeClr val="bg1"/>
              </a:solidFill>
            </a:rPr>
            <a:t>2010 - Ciclo Operação</a:t>
          </a:r>
        </a:p>
      </xdr:txBody>
    </xdr:sp>
    <xdr:clientData/>
  </xdr:twoCellAnchor>
  <xdr:twoCellAnchor>
    <xdr:from>
      <xdr:col>26</xdr:col>
      <xdr:colOff>568421</xdr:colOff>
      <xdr:row>4</xdr:row>
      <xdr:rowOff>188820</xdr:rowOff>
    </xdr:from>
    <xdr:to>
      <xdr:col>29</xdr:col>
      <xdr:colOff>315730</xdr:colOff>
      <xdr:row>6</xdr:row>
      <xdr:rowOff>169770</xdr:rowOff>
    </xdr:to>
    <xdr:sp macro="" textlink="">
      <xdr:nvSpPr>
        <xdr:cNvPr id="44" name="Bisel 43">
          <a:hlinkClick xmlns:r="http://schemas.openxmlformats.org/officeDocument/2006/relationships" r:id="rId25"/>
        </xdr:cNvPr>
        <xdr:cNvSpPr/>
      </xdr:nvSpPr>
      <xdr:spPr>
        <a:xfrm>
          <a:off x="16301480" y="950820"/>
          <a:ext cx="1562662" cy="36195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PT" sz="1100"/>
            <a:t>MTBF</a:t>
          </a:r>
          <a:r>
            <a:rPr lang="pt-PT" sz="1100" baseline="0"/>
            <a:t> - Equipamento</a:t>
          </a:r>
        </a:p>
      </xdr:txBody>
    </xdr:sp>
    <xdr:clientData/>
  </xdr:twoCellAnchor>
  <xdr:twoCellAnchor>
    <xdr:from>
      <xdr:col>26</xdr:col>
      <xdr:colOff>568420</xdr:colOff>
      <xdr:row>7</xdr:row>
      <xdr:rowOff>103095</xdr:rowOff>
    </xdr:from>
    <xdr:to>
      <xdr:col>29</xdr:col>
      <xdr:colOff>306204</xdr:colOff>
      <xdr:row>9</xdr:row>
      <xdr:rowOff>84045</xdr:rowOff>
    </xdr:to>
    <xdr:sp macro="" textlink="">
      <xdr:nvSpPr>
        <xdr:cNvPr id="45" name="Bisel 44">
          <a:hlinkClick xmlns:r="http://schemas.openxmlformats.org/officeDocument/2006/relationships" r:id="rId26"/>
        </xdr:cNvPr>
        <xdr:cNvSpPr/>
      </xdr:nvSpPr>
      <xdr:spPr>
        <a:xfrm>
          <a:off x="16301479" y="1436595"/>
          <a:ext cx="1553137" cy="36195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PT" sz="1100"/>
            <a:t>Correlação avarias</a:t>
          </a:r>
        </a:p>
      </xdr:txBody>
    </xdr:sp>
    <xdr:clientData/>
  </xdr:twoCellAnchor>
  <xdr:twoCellAnchor>
    <xdr:from>
      <xdr:col>26</xdr:col>
      <xdr:colOff>565058</xdr:colOff>
      <xdr:row>2</xdr:row>
      <xdr:rowOff>96931</xdr:rowOff>
    </xdr:from>
    <xdr:to>
      <xdr:col>29</xdr:col>
      <xdr:colOff>302842</xdr:colOff>
      <xdr:row>4</xdr:row>
      <xdr:rowOff>77881</xdr:rowOff>
    </xdr:to>
    <xdr:sp macro="" textlink="">
      <xdr:nvSpPr>
        <xdr:cNvPr id="38" name="Bisel 37">
          <a:hlinkClick xmlns:r="http://schemas.openxmlformats.org/officeDocument/2006/relationships" r:id="rId27"/>
        </xdr:cNvPr>
        <xdr:cNvSpPr/>
      </xdr:nvSpPr>
      <xdr:spPr>
        <a:xfrm>
          <a:off x="16298117" y="477931"/>
          <a:ext cx="1553137" cy="36195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PT" sz="1100"/>
            <a:t>MTBF - Zonas</a:t>
          </a:r>
        </a:p>
      </xdr:txBody>
    </xdr:sp>
    <xdr:clientData/>
  </xdr:twoCellAnchor>
  <xdr:twoCellAnchor>
    <xdr:from>
      <xdr:col>18</xdr:col>
      <xdr:colOff>146797</xdr:colOff>
      <xdr:row>5</xdr:row>
      <xdr:rowOff>9521</xdr:rowOff>
    </xdr:from>
    <xdr:to>
      <xdr:col>20</xdr:col>
      <xdr:colOff>499223</xdr:colOff>
      <xdr:row>6</xdr:row>
      <xdr:rowOff>180971</xdr:rowOff>
    </xdr:to>
    <xdr:sp macro="" textlink="">
      <xdr:nvSpPr>
        <xdr:cNvPr id="47" name="Bisel 46">
          <a:hlinkClick xmlns:r="http://schemas.openxmlformats.org/officeDocument/2006/relationships" r:id="rId28"/>
        </xdr:cNvPr>
        <xdr:cNvSpPr/>
      </xdr:nvSpPr>
      <xdr:spPr>
        <a:xfrm>
          <a:off x="11038915" y="962021"/>
          <a:ext cx="1562661" cy="36195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PT" sz="1100"/>
            <a:t>Incinerador 2 - Total</a:t>
          </a:r>
        </a:p>
      </xdr:txBody>
    </xdr:sp>
    <xdr:clientData/>
  </xdr:twoCellAnchor>
  <xdr:twoCellAnchor>
    <xdr:from>
      <xdr:col>18</xdr:col>
      <xdr:colOff>146796</xdr:colOff>
      <xdr:row>7</xdr:row>
      <xdr:rowOff>114296</xdr:rowOff>
    </xdr:from>
    <xdr:to>
      <xdr:col>20</xdr:col>
      <xdr:colOff>489697</xdr:colOff>
      <xdr:row>9</xdr:row>
      <xdr:rowOff>95246</xdr:rowOff>
    </xdr:to>
    <xdr:sp macro="" textlink="">
      <xdr:nvSpPr>
        <xdr:cNvPr id="48" name="Bisel 47">
          <a:hlinkClick xmlns:r="http://schemas.openxmlformats.org/officeDocument/2006/relationships" r:id="rId29"/>
        </xdr:cNvPr>
        <xdr:cNvSpPr/>
      </xdr:nvSpPr>
      <xdr:spPr>
        <a:xfrm>
          <a:off x="11038914" y="1447796"/>
          <a:ext cx="1553136" cy="36195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PT" sz="1100"/>
            <a:t>Incinerador</a:t>
          </a:r>
          <a:r>
            <a:rPr lang="pt-PT" sz="1100" baseline="0"/>
            <a:t> 3 - Total</a:t>
          </a:r>
        </a:p>
      </xdr:txBody>
    </xdr:sp>
    <xdr:clientData/>
  </xdr:twoCellAnchor>
  <xdr:twoCellAnchor>
    <xdr:from>
      <xdr:col>18</xdr:col>
      <xdr:colOff>138952</xdr:colOff>
      <xdr:row>14</xdr:row>
      <xdr:rowOff>185453</xdr:rowOff>
    </xdr:from>
    <xdr:to>
      <xdr:col>20</xdr:col>
      <xdr:colOff>500903</xdr:colOff>
      <xdr:row>16</xdr:row>
      <xdr:rowOff>166403</xdr:rowOff>
    </xdr:to>
    <xdr:sp macro="" textlink="">
      <xdr:nvSpPr>
        <xdr:cNvPr id="49" name="Bisel 48">
          <a:hlinkClick xmlns:r="http://schemas.openxmlformats.org/officeDocument/2006/relationships" r:id="rId30"/>
        </xdr:cNvPr>
        <xdr:cNvSpPr/>
      </xdr:nvSpPr>
      <xdr:spPr>
        <a:xfrm>
          <a:off x="11031070" y="2852453"/>
          <a:ext cx="1572186" cy="36195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PT" sz="1100">
              <a:solidFill>
                <a:schemeClr val="bg1"/>
              </a:solidFill>
            </a:rPr>
            <a:t>Moinhos - Total</a:t>
          </a:r>
        </a:p>
      </xdr:txBody>
    </xdr:sp>
    <xdr:clientData/>
  </xdr:twoCellAnchor>
  <xdr:twoCellAnchor>
    <xdr:from>
      <xdr:col>18</xdr:col>
      <xdr:colOff>127746</xdr:colOff>
      <xdr:row>10</xdr:row>
      <xdr:rowOff>17365</xdr:rowOff>
    </xdr:from>
    <xdr:to>
      <xdr:col>20</xdr:col>
      <xdr:colOff>489697</xdr:colOff>
      <xdr:row>11</xdr:row>
      <xdr:rowOff>188815</xdr:rowOff>
    </xdr:to>
    <xdr:sp macro="" textlink="">
      <xdr:nvSpPr>
        <xdr:cNvPr id="54" name="Bisel 53">
          <a:hlinkClick xmlns:r="http://schemas.openxmlformats.org/officeDocument/2006/relationships" r:id="rId31"/>
        </xdr:cNvPr>
        <xdr:cNvSpPr/>
      </xdr:nvSpPr>
      <xdr:spPr>
        <a:xfrm>
          <a:off x="11019864" y="1922365"/>
          <a:ext cx="1572186" cy="36195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PT" sz="1100">
              <a:solidFill>
                <a:schemeClr val="bg1"/>
              </a:solidFill>
            </a:rPr>
            <a:t>Combustivel</a:t>
          </a:r>
          <a:r>
            <a:rPr lang="pt-PT" sz="1100" baseline="0">
              <a:solidFill>
                <a:schemeClr val="bg1"/>
              </a:solidFill>
            </a:rPr>
            <a:t> 31 - Total</a:t>
          </a:r>
          <a:endParaRPr lang="pt-PT" sz="1100">
            <a:solidFill>
              <a:schemeClr val="bg1"/>
            </a:solidFill>
          </a:endParaRPr>
        </a:p>
      </xdr:txBody>
    </xdr:sp>
    <xdr:clientData/>
  </xdr:twoCellAnchor>
  <xdr:twoCellAnchor>
    <xdr:from>
      <xdr:col>18</xdr:col>
      <xdr:colOff>132228</xdr:colOff>
      <xdr:row>12</xdr:row>
      <xdr:rowOff>96927</xdr:rowOff>
    </xdr:from>
    <xdr:to>
      <xdr:col>20</xdr:col>
      <xdr:colOff>475129</xdr:colOff>
      <xdr:row>14</xdr:row>
      <xdr:rowOff>77877</xdr:rowOff>
    </xdr:to>
    <xdr:sp macro="" textlink="">
      <xdr:nvSpPr>
        <xdr:cNvPr id="55" name="Bisel 54">
          <a:hlinkClick xmlns:r="http://schemas.openxmlformats.org/officeDocument/2006/relationships" r:id="rId32"/>
        </xdr:cNvPr>
        <xdr:cNvSpPr/>
      </xdr:nvSpPr>
      <xdr:spPr>
        <a:xfrm>
          <a:off x="11024346" y="2382927"/>
          <a:ext cx="1553136" cy="36195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PT" sz="1100"/>
            <a:t>Combustivel</a:t>
          </a:r>
          <a:r>
            <a:rPr lang="pt-PT" sz="1100" baseline="0"/>
            <a:t> 41 - Total</a:t>
          </a:r>
          <a:endParaRPr lang="pt-PT" sz="1100"/>
        </a:p>
      </xdr:txBody>
    </xdr:sp>
    <xdr:clientData/>
  </xdr:twoCellAnchor>
  <xdr:twoCellAnchor>
    <xdr:from>
      <xdr:col>18</xdr:col>
      <xdr:colOff>138951</xdr:colOff>
      <xdr:row>17</xdr:row>
      <xdr:rowOff>107012</xdr:rowOff>
    </xdr:from>
    <xdr:to>
      <xdr:col>20</xdr:col>
      <xdr:colOff>500902</xdr:colOff>
      <xdr:row>19</xdr:row>
      <xdr:rowOff>87962</xdr:rowOff>
    </xdr:to>
    <xdr:sp macro="" textlink="">
      <xdr:nvSpPr>
        <xdr:cNvPr id="56" name="Bisel 55">
          <a:hlinkClick xmlns:r="http://schemas.openxmlformats.org/officeDocument/2006/relationships" r:id="rId33"/>
        </xdr:cNvPr>
        <xdr:cNvSpPr/>
      </xdr:nvSpPr>
      <xdr:spPr>
        <a:xfrm>
          <a:off x="11031069" y="3345512"/>
          <a:ext cx="1572186" cy="36195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PT" sz="1100">
              <a:solidFill>
                <a:schemeClr val="bg1"/>
              </a:solidFill>
            </a:rPr>
            <a:t>Postos Urb. ambiente</a:t>
          </a:r>
        </a:p>
      </xdr:txBody>
    </xdr:sp>
    <xdr:clientData/>
  </xdr:twoCellAnchor>
  <xdr:twoCellAnchor>
    <xdr:from>
      <xdr:col>26</xdr:col>
      <xdr:colOff>575144</xdr:colOff>
      <xdr:row>9</xdr:row>
      <xdr:rowOff>188260</xdr:rowOff>
    </xdr:from>
    <xdr:to>
      <xdr:col>29</xdr:col>
      <xdr:colOff>312928</xdr:colOff>
      <xdr:row>11</xdr:row>
      <xdr:rowOff>169210</xdr:rowOff>
    </xdr:to>
    <xdr:sp macro="" textlink="">
      <xdr:nvSpPr>
        <xdr:cNvPr id="37" name="Bisel 36">
          <a:hlinkClick xmlns:r="http://schemas.openxmlformats.org/officeDocument/2006/relationships" r:id="rId34"/>
        </xdr:cNvPr>
        <xdr:cNvSpPr/>
      </xdr:nvSpPr>
      <xdr:spPr>
        <a:xfrm>
          <a:off x="16308203" y="1902760"/>
          <a:ext cx="1553137" cy="36195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PT" sz="1100"/>
            <a:t>Sistemas</a:t>
          </a:r>
          <a:r>
            <a:rPr lang="pt-PT" sz="1100" baseline="0"/>
            <a:t> compostos</a:t>
          </a:r>
          <a:endParaRPr lang="pt-PT" sz="1100"/>
        </a:p>
      </xdr:txBody>
    </xdr:sp>
    <xdr:clientData/>
  </xdr:twoCellAnchor>
  <xdr:twoCellAnchor>
    <xdr:from>
      <xdr:col>18</xdr:col>
      <xdr:colOff>179294</xdr:colOff>
      <xdr:row>2</xdr:row>
      <xdr:rowOff>78442</xdr:rowOff>
    </xdr:from>
    <xdr:to>
      <xdr:col>20</xdr:col>
      <xdr:colOff>414618</xdr:colOff>
      <xdr:row>4</xdr:row>
      <xdr:rowOff>44824</xdr:rowOff>
    </xdr:to>
    <xdr:sp macro="" textlink="">
      <xdr:nvSpPr>
        <xdr:cNvPr id="3" name="CaixaDeTexto 2"/>
        <xdr:cNvSpPr txBox="1"/>
      </xdr:nvSpPr>
      <xdr:spPr>
        <a:xfrm>
          <a:off x="11071412" y="459442"/>
          <a:ext cx="1445559" cy="347382"/>
        </a:xfrm>
        <a:prstGeom prst="rect">
          <a:avLst/>
        </a:prstGeom>
        <a:solidFill>
          <a:srgbClr val="00B05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PT" sz="1800" b="1"/>
            <a:t>Exponencial</a:t>
          </a:r>
        </a:p>
      </xdr:txBody>
    </xdr:sp>
    <xdr:clientData/>
  </xdr:twoCellAnchor>
  <xdr:twoCellAnchor>
    <xdr:from>
      <xdr:col>21</xdr:col>
      <xdr:colOff>86285</xdr:colOff>
      <xdr:row>5</xdr:row>
      <xdr:rowOff>27456</xdr:rowOff>
    </xdr:from>
    <xdr:to>
      <xdr:col>23</xdr:col>
      <xdr:colOff>438711</xdr:colOff>
      <xdr:row>7</xdr:row>
      <xdr:rowOff>8406</xdr:rowOff>
    </xdr:to>
    <xdr:sp macro="" textlink="">
      <xdr:nvSpPr>
        <xdr:cNvPr id="50" name="Bisel 49">
          <a:hlinkClick xmlns:r="http://schemas.openxmlformats.org/officeDocument/2006/relationships" r:id="rId35"/>
        </xdr:cNvPr>
        <xdr:cNvSpPr/>
      </xdr:nvSpPr>
      <xdr:spPr>
        <a:xfrm>
          <a:off x="12793756" y="979956"/>
          <a:ext cx="1562661" cy="36195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PT" sz="1100"/>
            <a:t>Incinerador2 - Total</a:t>
          </a:r>
        </a:p>
      </xdr:txBody>
    </xdr:sp>
    <xdr:clientData/>
  </xdr:twoCellAnchor>
  <xdr:twoCellAnchor>
    <xdr:from>
      <xdr:col>21</xdr:col>
      <xdr:colOff>86284</xdr:colOff>
      <xdr:row>7</xdr:row>
      <xdr:rowOff>132231</xdr:rowOff>
    </xdr:from>
    <xdr:to>
      <xdr:col>23</xdr:col>
      <xdr:colOff>429185</xdr:colOff>
      <xdr:row>9</xdr:row>
      <xdr:rowOff>113181</xdr:rowOff>
    </xdr:to>
    <xdr:sp macro="" textlink="">
      <xdr:nvSpPr>
        <xdr:cNvPr id="51" name="Bisel 50">
          <a:hlinkClick xmlns:r="http://schemas.openxmlformats.org/officeDocument/2006/relationships" r:id="rId36"/>
        </xdr:cNvPr>
        <xdr:cNvSpPr/>
      </xdr:nvSpPr>
      <xdr:spPr>
        <a:xfrm>
          <a:off x="12793755" y="1465731"/>
          <a:ext cx="1553136" cy="36195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PT" sz="1100">
              <a:solidFill>
                <a:schemeClr val="lt1"/>
              </a:solidFill>
              <a:effectLst/>
              <a:latin typeface="+mn-lt"/>
              <a:ea typeface="+mn-ea"/>
              <a:cs typeface="+mn-cs"/>
            </a:rPr>
            <a:t>Incinerador </a:t>
          </a:r>
          <a:r>
            <a:rPr lang="pt-PT" sz="1100" baseline="0"/>
            <a:t>3 - Total</a:t>
          </a:r>
        </a:p>
      </xdr:txBody>
    </xdr:sp>
    <xdr:clientData/>
  </xdr:twoCellAnchor>
  <xdr:twoCellAnchor>
    <xdr:from>
      <xdr:col>21</xdr:col>
      <xdr:colOff>78440</xdr:colOff>
      <xdr:row>15</xdr:row>
      <xdr:rowOff>12888</xdr:rowOff>
    </xdr:from>
    <xdr:to>
      <xdr:col>23</xdr:col>
      <xdr:colOff>440391</xdr:colOff>
      <xdr:row>16</xdr:row>
      <xdr:rowOff>184338</xdr:rowOff>
    </xdr:to>
    <xdr:sp macro="" textlink="">
      <xdr:nvSpPr>
        <xdr:cNvPr id="52" name="Bisel 51">
          <a:hlinkClick xmlns:r="http://schemas.openxmlformats.org/officeDocument/2006/relationships" r:id="rId37"/>
        </xdr:cNvPr>
        <xdr:cNvSpPr/>
      </xdr:nvSpPr>
      <xdr:spPr>
        <a:xfrm>
          <a:off x="12785911" y="2870388"/>
          <a:ext cx="1572186" cy="36195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PT" sz="1100">
              <a:solidFill>
                <a:schemeClr val="bg1"/>
              </a:solidFill>
            </a:rPr>
            <a:t>Moinhos - Total</a:t>
          </a:r>
        </a:p>
      </xdr:txBody>
    </xdr:sp>
    <xdr:clientData/>
  </xdr:twoCellAnchor>
  <xdr:twoCellAnchor>
    <xdr:from>
      <xdr:col>21</xdr:col>
      <xdr:colOff>67234</xdr:colOff>
      <xdr:row>10</xdr:row>
      <xdr:rowOff>35300</xdr:rowOff>
    </xdr:from>
    <xdr:to>
      <xdr:col>23</xdr:col>
      <xdr:colOff>429185</xdr:colOff>
      <xdr:row>12</xdr:row>
      <xdr:rowOff>16250</xdr:rowOff>
    </xdr:to>
    <xdr:sp macro="" textlink="">
      <xdr:nvSpPr>
        <xdr:cNvPr id="53" name="Bisel 52">
          <a:hlinkClick xmlns:r="http://schemas.openxmlformats.org/officeDocument/2006/relationships" r:id="rId38"/>
        </xdr:cNvPr>
        <xdr:cNvSpPr/>
      </xdr:nvSpPr>
      <xdr:spPr>
        <a:xfrm>
          <a:off x="12774705" y="1940300"/>
          <a:ext cx="1572186" cy="36195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PT" sz="1100">
              <a:solidFill>
                <a:schemeClr val="bg1"/>
              </a:solidFill>
            </a:rPr>
            <a:t>Combustivel</a:t>
          </a:r>
          <a:r>
            <a:rPr lang="pt-PT" sz="1100" baseline="0">
              <a:solidFill>
                <a:schemeClr val="bg1"/>
              </a:solidFill>
            </a:rPr>
            <a:t> 31 - Total</a:t>
          </a:r>
          <a:endParaRPr lang="pt-PT" sz="1100">
            <a:solidFill>
              <a:schemeClr val="bg1"/>
            </a:solidFill>
          </a:endParaRPr>
        </a:p>
      </xdr:txBody>
    </xdr:sp>
    <xdr:clientData/>
  </xdr:twoCellAnchor>
  <xdr:twoCellAnchor>
    <xdr:from>
      <xdr:col>21</xdr:col>
      <xdr:colOff>71716</xdr:colOff>
      <xdr:row>12</xdr:row>
      <xdr:rowOff>114862</xdr:rowOff>
    </xdr:from>
    <xdr:to>
      <xdr:col>23</xdr:col>
      <xdr:colOff>414617</xdr:colOff>
      <xdr:row>14</xdr:row>
      <xdr:rowOff>95812</xdr:rowOff>
    </xdr:to>
    <xdr:sp macro="" textlink="">
      <xdr:nvSpPr>
        <xdr:cNvPr id="57" name="Bisel 56">
          <a:hlinkClick xmlns:r="http://schemas.openxmlformats.org/officeDocument/2006/relationships" r:id="rId39"/>
        </xdr:cNvPr>
        <xdr:cNvSpPr/>
      </xdr:nvSpPr>
      <xdr:spPr>
        <a:xfrm>
          <a:off x="12779187" y="2400862"/>
          <a:ext cx="1553136" cy="36195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PT" sz="1100"/>
            <a:t>Combustivel</a:t>
          </a:r>
          <a:r>
            <a:rPr lang="pt-PT" sz="1100" baseline="0"/>
            <a:t> 41 - Total</a:t>
          </a:r>
          <a:endParaRPr lang="pt-PT" sz="1100"/>
        </a:p>
      </xdr:txBody>
    </xdr:sp>
    <xdr:clientData/>
  </xdr:twoCellAnchor>
  <xdr:twoCellAnchor>
    <xdr:from>
      <xdr:col>21</xdr:col>
      <xdr:colOff>78439</xdr:colOff>
      <xdr:row>17</xdr:row>
      <xdr:rowOff>124947</xdr:rowOff>
    </xdr:from>
    <xdr:to>
      <xdr:col>23</xdr:col>
      <xdr:colOff>440390</xdr:colOff>
      <xdr:row>19</xdr:row>
      <xdr:rowOff>105897</xdr:rowOff>
    </xdr:to>
    <xdr:sp macro="" textlink="">
      <xdr:nvSpPr>
        <xdr:cNvPr id="59" name="Bisel 58">
          <a:hlinkClick xmlns:r="http://schemas.openxmlformats.org/officeDocument/2006/relationships" r:id="rId40"/>
        </xdr:cNvPr>
        <xdr:cNvSpPr/>
      </xdr:nvSpPr>
      <xdr:spPr>
        <a:xfrm>
          <a:off x="12785910" y="3363447"/>
          <a:ext cx="1572186" cy="36195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PT" sz="1100">
              <a:solidFill>
                <a:schemeClr val="bg1"/>
              </a:solidFill>
            </a:rPr>
            <a:t>Postos Urb. ambiente</a:t>
          </a:r>
        </a:p>
      </xdr:txBody>
    </xdr:sp>
    <xdr:clientData/>
  </xdr:twoCellAnchor>
  <xdr:twoCellAnchor>
    <xdr:from>
      <xdr:col>21</xdr:col>
      <xdr:colOff>96370</xdr:colOff>
      <xdr:row>2</xdr:row>
      <xdr:rowOff>96372</xdr:rowOff>
    </xdr:from>
    <xdr:to>
      <xdr:col>23</xdr:col>
      <xdr:colOff>331694</xdr:colOff>
      <xdr:row>4</xdr:row>
      <xdr:rowOff>62754</xdr:rowOff>
    </xdr:to>
    <xdr:sp macro="" textlink="">
      <xdr:nvSpPr>
        <xdr:cNvPr id="60" name="CaixaDeTexto 59"/>
        <xdr:cNvSpPr txBox="1"/>
      </xdr:nvSpPr>
      <xdr:spPr>
        <a:xfrm>
          <a:off x="12803841" y="477372"/>
          <a:ext cx="1445559" cy="347382"/>
        </a:xfrm>
        <a:prstGeom prst="rect">
          <a:avLst/>
        </a:prstGeom>
        <a:solidFill>
          <a:srgbClr val="00B05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PT" sz="1800" b="1"/>
            <a:t>Weibull</a:t>
          </a:r>
        </a:p>
      </xdr:txBody>
    </xdr:sp>
    <xdr:clientData/>
  </xdr:twoCellAnchor>
  <xdr:twoCellAnchor>
    <xdr:from>
      <xdr:col>23</xdr:col>
      <xdr:colOff>584963</xdr:colOff>
      <xdr:row>2</xdr:row>
      <xdr:rowOff>103094</xdr:rowOff>
    </xdr:from>
    <xdr:to>
      <xdr:col>26</xdr:col>
      <xdr:colOff>215169</xdr:colOff>
      <xdr:row>4</xdr:row>
      <xdr:rowOff>69476</xdr:rowOff>
    </xdr:to>
    <xdr:sp macro="" textlink="">
      <xdr:nvSpPr>
        <xdr:cNvPr id="58" name="CaixaDeTexto 57"/>
        <xdr:cNvSpPr txBox="1"/>
      </xdr:nvSpPr>
      <xdr:spPr>
        <a:xfrm>
          <a:off x="14502669" y="484094"/>
          <a:ext cx="1445559" cy="347382"/>
        </a:xfrm>
        <a:prstGeom prst="rect">
          <a:avLst/>
        </a:prstGeom>
        <a:solidFill>
          <a:srgbClr val="00B05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PT" sz="1800" b="1"/>
            <a:t>Familias Wbl</a:t>
          </a:r>
        </a:p>
      </xdr:txBody>
    </xdr:sp>
    <xdr:clientData/>
  </xdr:twoCellAnchor>
  <xdr:twoCellAnchor>
    <xdr:from>
      <xdr:col>23</xdr:col>
      <xdr:colOff>597290</xdr:colOff>
      <xdr:row>5</xdr:row>
      <xdr:rowOff>22972</xdr:rowOff>
    </xdr:from>
    <xdr:to>
      <xdr:col>26</xdr:col>
      <xdr:colOff>344598</xdr:colOff>
      <xdr:row>7</xdr:row>
      <xdr:rowOff>3922</xdr:rowOff>
    </xdr:to>
    <xdr:sp macro="" textlink="">
      <xdr:nvSpPr>
        <xdr:cNvPr id="62" name="Bisel 61">
          <a:hlinkClick xmlns:r="http://schemas.openxmlformats.org/officeDocument/2006/relationships" r:id="rId41"/>
        </xdr:cNvPr>
        <xdr:cNvSpPr/>
      </xdr:nvSpPr>
      <xdr:spPr>
        <a:xfrm>
          <a:off x="14514996" y="975472"/>
          <a:ext cx="1562661" cy="36195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PT" sz="1100"/>
            <a:t>Incinerador 2 - Total</a:t>
          </a:r>
        </a:p>
      </xdr:txBody>
    </xdr:sp>
    <xdr:clientData/>
  </xdr:twoCellAnchor>
  <xdr:twoCellAnchor>
    <xdr:from>
      <xdr:col>23</xdr:col>
      <xdr:colOff>597289</xdr:colOff>
      <xdr:row>7</xdr:row>
      <xdr:rowOff>127747</xdr:rowOff>
    </xdr:from>
    <xdr:to>
      <xdr:col>26</xdr:col>
      <xdr:colOff>335072</xdr:colOff>
      <xdr:row>9</xdr:row>
      <xdr:rowOff>108697</xdr:rowOff>
    </xdr:to>
    <xdr:sp macro="" textlink="">
      <xdr:nvSpPr>
        <xdr:cNvPr id="63" name="Bisel 62">
          <a:hlinkClick xmlns:r="http://schemas.openxmlformats.org/officeDocument/2006/relationships" r:id="rId36"/>
        </xdr:cNvPr>
        <xdr:cNvSpPr/>
      </xdr:nvSpPr>
      <xdr:spPr>
        <a:xfrm>
          <a:off x="14514995" y="1461247"/>
          <a:ext cx="1553136" cy="36195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PT" sz="1100">
              <a:solidFill>
                <a:schemeClr val="lt1"/>
              </a:solidFill>
              <a:effectLst/>
              <a:latin typeface="+mn-lt"/>
              <a:ea typeface="+mn-ea"/>
              <a:cs typeface="+mn-cs"/>
            </a:rPr>
            <a:t>Incinerador</a:t>
          </a:r>
          <a:r>
            <a:rPr lang="pt-PT" sz="1100" baseline="0"/>
            <a:t> 3 - Total</a:t>
          </a:r>
        </a:p>
      </xdr:txBody>
    </xdr:sp>
    <xdr:clientData/>
  </xdr:twoCellAnchor>
  <xdr:twoCellAnchor>
    <xdr:from>
      <xdr:col>23</xdr:col>
      <xdr:colOff>589445</xdr:colOff>
      <xdr:row>15</xdr:row>
      <xdr:rowOff>8404</xdr:rowOff>
    </xdr:from>
    <xdr:to>
      <xdr:col>26</xdr:col>
      <xdr:colOff>346278</xdr:colOff>
      <xdr:row>16</xdr:row>
      <xdr:rowOff>179854</xdr:rowOff>
    </xdr:to>
    <xdr:sp macro="" textlink="">
      <xdr:nvSpPr>
        <xdr:cNvPr id="64" name="Bisel 63">
          <a:hlinkClick xmlns:r="http://schemas.openxmlformats.org/officeDocument/2006/relationships" r:id="rId42"/>
        </xdr:cNvPr>
        <xdr:cNvSpPr/>
      </xdr:nvSpPr>
      <xdr:spPr>
        <a:xfrm>
          <a:off x="14507151" y="2865904"/>
          <a:ext cx="1572186" cy="36195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PT" sz="1100">
              <a:solidFill>
                <a:schemeClr val="bg1"/>
              </a:solidFill>
            </a:rPr>
            <a:t>Moinhos - Total</a:t>
          </a:r>
        </a:p>
      </xdr:txBody>
    </xdr:sp>
    <xdr:clientData/>
  </xdr:twoCellAnchor>
  <xdr:twoCellAnchor>
    <xdr:from>
      <xdr:col>23</xdr:col>
      <xdr:colOff>578239</xdr:colOff>
      <xdr:row>10</xdr:row>
      <xdr:rowOff>30816</xdr:rowOff>
    </xdr:from>
    <xdr:to>
      <xdr:col>26</xdr:col>
      <xdr:colOff>335072</xdr:colOff>
      <xdr:row>12</xdr:row>
      <xdr:rowOff>11766</xdr:rowOff>
    </xdr:to>
    <xdr:sp macro="" textlink="">
      <xdr:nvSpPr>
        <xdr:cNvPr id="65" name="Bisel 64">
          <a:hlinkClick xmlns:r="http://schemas.openxmlformats.org/officeDocument/2006/relationships" r:id="rId43"/>
        </xdr:cNvPr>
        <xdr:cNvSpPr/>
      </xdr:nvSpPr>
      <xdr:spPr>
        <a:xfrm>
          <a:off x="14495945" y="1935816"/>
          <a:ext cx="1572186" cy="36195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PT" sz="1100">
              <a:solidFill>
                <a:schemeClr val="bg1"/>
              </a:solidFill>
            </a:rPr>
            <a:t>Combustivel</a:t>
          </a:r>
          <a:r>
            <a:rPr lang="pt-PT" sz="1100" baseline="0">
              <a:solidFill>
                <a:schemeClr val="bg1"/>
              </a:solidFill>
            </a:rPr>
            <a:t> 31 - Total</a:t>
          </a:r>
          <a:endParaRPr lang="pt-PT" sz="1100">
            <a:solidFill>
              <a:schemeClr val="bg1"/>
            </a:solidFill>
          </a:endParaRPr>
        </a:p>
      </xdr:txBody>
    </xdr:sp>
    <xdr:clientData/>
  </xdr:twoCellAnchor>
  <xdr:twoCellAnchor>
    <xdr:from>
      <xdr:col>23</xdr:col>
      <xdr:colOff>582721</xdr:colOff>
      <xdr:row>12</xdr:row>
      <xdr:rowOff>110378</xdr:rowOff>
    </xdr:from>
    <xdr:to>
      <xdr:col>26</xdr:col>
      <xdr:colOff>320504</xdr:colOff>
      <xdr:row>14</xdr:row>
      <xdr:rowOff>91328</xdr:rowOff>
    </xdr:to>
    <xdr:sp macro="" textlink="">
      <xdr:nvSpPr>
        <xdr:cNvPr id="66" name="Bisel 65">
          <a:hlinkClick xmlns:r="http://schemas.openxmlformats.org/officeDocument/2006/relationships" r:id="rId44"/>
        </xdr:cNvPr>
        <xdr:cNvSpPr/>
      </xdr:nvSpPr>
      <xdr:spPr>
        <a:xfrm>
          <a:off x="14500427" y="2396378"/>
          <a:ext cx="1553136" cy="36195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PT" sz="1100">
              <a:solidFill>
                <a:schemeClr val="lt1"/>
              </a:solidFill>
              <a:effectLst/>
              <a:latin typeface="+mn-lt"/>
              <a:ea typeface="+mn-ea"/>
              <a:cs typeface="+mn-cs"/>
            </a:rPr>
            <a:t>Combustivel</a:t>
          </a:r>
          <a:r>
            <a:rPr lang="pt-PT" sz="1100" baseline="0"/>
            <a:t> 41 - Total</a:t>
          </a:r>
          <a:endParaRPr lang="pt-PT" sz="1100"/>
        </a:p>
      </xdr:txBody>
    </xdr:sp>
    <xdr:clientData/>
  </xdr:twoCellAnchor>
  <xdr:twoCellAnchor>
    <xdr:from>
      <xdr:col>23</xdr:col>
      <xdr:colOff>589444</xdr:colOff>
      <xdr:row>17</xdr:row>
      <xdr:rowOff>120463</xdr:rowOff>
    </xdr:from>
    <xdr:to>
      <xdr:col>26</xdr:col>
      <xdr:colOff>346277</xdr:colOff>
      <xdr:row>19</xdr:row>
      <xdr:rowOff>101413</xdr:rowOff>
    </xdr:to>
    <xdr:sp macro="" textlink="">
      <xdr:nvSpPr>
        <xdr:cNvPr id="67" name="Bisel 66">
          <a:hlinkClick xmlns:r="http://schemas.openxmlformats.org/officeDocument/2006/relationships" r:id="rId45"/>
        </xdr:cNvPr>
        <xdr:cNvSpPr/>
      </xdr:nvSpPr>
      <xdr:spPr>
        <a:xfrm>
          <a:off x="14507150" y="3358963"/>
          <a:ext cx="1572186" cy="36195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PT" sz="1100">
              <a:solidFill>
                <a:schemeClr val="bg1"/>
              </a:solidFill>
            </a:rPr>
            <a:t>Postos Urb. ambiente</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0.64269</cdr:x>
      <cdr:y>0.34069</cdr:y>
    </cdr:from>
    <cdr:to>
      <cdr:x>0.84657</cdr:x>
      <cdr:y>0.49576</cdr:y>
    </cdr:to>
    <cdr:sp macro="" textlink="">
      <cdr:nvSpPr>
        <cdr:cNvPr id="2" name="CaixaDeTexto 1"/>
        <cdr:cNvSpPr txBox="1"/>
      </cdr:nvSpPr>
      <cdr:spPr>
        <a:xfrm xmlns:a="http://schemas.openxmlformats.org/drawingml/2006/main">
          <a:off x="3426481" y="566271"/>
          <a:ext cx="1086970" cy="25773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pt-PT" sz="1000">
              <a:solidFill>
                <a:schemeClr val="bg1"/>
              </a:solidFill>
            </a:rPr>
            <a:t>Tempo</a:t>
          </a:r>
          <a:r>
            <a:rPr lang="pt-PT" sz="1000" baseline="0">
              <a:solidFill>
                <a:schemeClr val="bg1"/>
              </a:solidFill>
            </a:rPr>
            <a:t> inactivo</a:t>
          </a:r>
        </a:p>
      </cdr:txBody>
    </cdr:sp>
  </cdr:relSizeAnchor>
  <cdr:relSizeAnchor xmlns:cdr="http://schemas.openxmlformats.org/drawingml/2006/chartDrawing">
    <cdr:from>
      <cdr:x>0.83606</cdr:x>
      <cdr:y>0.54969</cdr:y>
    </cdr:from>
    <cdr:to>
      <cdr:x>0.9958</cdr:x>
      <cdr:y>0.70066</cdr:y>
    </cdr:to>
    <cdr:sp macro="" textlink="">
      <cdr:nvSpPr>
        <cdr:cNvPr id="3" name="CaixaDeTexto 1"/>
        <cdr:cNvSpPr txBox="1"/>
      </cdr:nvSpPr>
      <cdr:spPr>
        <a:xfrm xmlns:a="http://schemas.openxmlformats.org/drawingml/2006/main">
          <a:off x="4457420" y="913653"/>
          <a:ext cx="851647" cy="25091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pt-PT" sz="900" baseline="0">
              <a:solidFill>
                <a:schemeClr val="bg1"/>
              </a:solidFill>
            </a:rPr>
            <a:t>Tempo activo</a:t>
          </a:r>
          <a:endParaRPr lang="pt-PT" sz="900">
            <a:solidFill>
              <a:schemeClr val="bg1"/>
            </a:solidFill>
          </a:endParaRPr>
        </a:p>
      </cdr:txBody>
    </cdr:sp>
  </cdr:relSizeAnchor>
</c:userShapes>
</file>

<file path=xl/drawings/drawing100.xml><?xml version="1.0" encoding="utf-8"?>
<c:userShapes xmlns:c="http://schemas.openxmlformats.org/drawingml/2006/chart">
  <cdr:relSizeAnchor xmlns:cdr="http://schemas.openxmlformats.org/drawingml/2006/chartDrawing">
    <cdr:from>
      <cdr:x>0.65619</cdr:x>
      <cdr:y>0.34572</cdr:y>
    </cdr:from>
    <cdr:to>
      <cdr:x>0.86798</cdr:x>
      <cdr:y>0.50625</cdr:y>
    </cdr:to>
    <cdr:sp macro="" textlink="">
      <cdr:nvSpPr>
        <cdr:cNvPr id="2" name="CaixaDeTexto 1"/>
        <cdr:cNvSpPr txBox="1"/>
      </cdr:nvSpPr>
      <cdr:spPr>
        <a:xfrm xmlns:a="http://schemas.openxmlformats.org/drawingml/2006/main">
          <a:off x="3367741" y="555065"/>
          <a:ext cx="1086970" cy="25773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pt-PT" sz="1000">
              <a:solidFill>
                <a:schemeClr val="bg1"/>
              </a:solidFill>
            </a:rPr>
            <a:t>Tempo</a:t>
          </a:r>
          <a:r>
            <a:rPr lang="pt-PT" sz="1000" baseline="0">
              <a:solidFill>
                <a:schemeClr val="bg1"/>
              </a:solidFill>
            </a:rPr>
            <a:t> inactivo</a:t>
          </a:r>
        </a:p>
      </cdr:txBody>
    </cdr:sp>
  </cdr:relSizeAnchor>
  <cdr:relSizeAnchor xmlns:cdr="http://schemas.openxmlformats.org/drawingml/2006/chartDrawing">
    <cdr:from>
      <cdr:x>0.86245</cdr:x>
      <cdr:y>0.47833</cdr:y>
    </cdr:from>
    <cdr:to>
      <cdr:x>1</cdr:x>
      <cdr:y>0.60862</cdr:y>
    </cdr:to>
    <cdr:sp macro="" textlink="">
      <cdr:nvSpPr>
        <cdr:cNvPr id="3" name="CaixaDeTexto 1"/>
        <cdr:cNvSpPr txBox="1"/>
      </cdr:nvSpPr>
      <cdr:spPr>
        <a:xfrm xmlns:a="http://schemas.openxmlformats.org/drawingml/2006/main">
          <a:off x="4426326" y="767977"/>
          <a:ext cx="705971" cy="20917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pt-PT" sz="1000" baseline="0">
              <a:solidFill>
                <a:schemeClr val="bg1"/>
              </a:solidFill>
            </a:rPr>
            <a:t>Tempo activo</a:t>
          </a:r>
          <a:endParaRPr lang="pt-PT" sz="1000">
            <a:solidFill>
              <a:schemeClr val="bg1"/>
            </a:solidFill>
          </a:endParaRPr>
        </a:p>
      </cdr:txBody>
    </cdr:sp>
  </cdr:relSizeAnchor>
</c:userShapes>
</file>

<file path=xl/drawings/drawing101.xml><?xml version="1.0" encoding="utf-8"?>
<c:userShapes xmlns:c="http://schemas.openxmlformats.org/drawingml/2006/chart">
  <cdr:relSizeAnchor xmlns:cdr="http://schemas.openxmlformats.org/drawingml/2006/chartDrawing">
    <cdr:from>
      <cdr:x>0.71732</cdr:x>
      <cdr:y>0.34572</cdr:y>
    </cdr:from>
    <cdr:to>
      <cdr:x>0.92911</cdr:x>
      <cdr:y>0.50625</cdr:y>
    </cdr:to>
    <cdr:sp macro="" textlink="">
      <cdr:nvSpPr>
        <cdr:cNvPr id="2" name="CaixaDeTexto 1"/>
        <cdr:cNvSpPr txBox="1"/>
      </cdr:nvSpPr>
      <cdr:spPr>
        <a:xfrm xmlns:a="http://schemas.openxmlformats.org/drawingml/2006/main">
          <a:off x="3681506" y="555065"/>
          <a:ext cx="1086970" cy="25773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pt-PT" sz="1000">
              <a:solidFill>
                <a:schemeClr val="bg1"/>
              </a:solidFill>
            </a:rPr>
            <a:t>Tempo</a:t>
          </a:r>
          <a:r>
            <a:rPr lang="pt-PT" sz="1000" baseline="0">
              <a:solidFill>
                <a:schemeClr val="bg1"/>
              </a:solidFill>
            </a:rPr>
            <a:t> inactivo</a:t>
          </a:r>
        </a:p>
      </cdr:txBody>
    </cdr:sp>
  </cdr:relSizeAnchor>
  <cdr:relSizeAnchor xmlns:cdr="http://schemas.openxmlformats.org/drawingml/2006/chartDrawing">
    <cdr:from>
      <cdr:x>0.78603</cdr:x>
      <cdr:y>0.70866</cdr:y>
    </cdr:from>
    <cdr:to>
      <cdr:x>1</cdr:x>
      <cdr:y>0.85849</cdr:y>
    </cdr:to>
    <cdr:sp macro="" textlink="">
      <cdr:nvSpPr>
        <cdr:cNvPr id="3" name="CaixaDeTexto 1"/>
        <cdr:cNvSpPr txBox="1"/>
      </cdr:nvSpPr>
      <cdr:spPr>
        <a:xfrm xmlns:a="http://schemas.openxmlformats.org/drawingml/2006/main">
          <a:off x="4034119" y="1137770"/>
          <a:ext cx="1098177" cy="24055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pt-PT" sz="1000" baseline="0">
              <a:solidFill>
                <a:schemeClr val="bg1"/>
              </a:solidFill>
            </a:rPr>
            <a:t>Tempo activo</a:t>
          </a:r>
          <a:endParaRPr lang="pt-PT" sz="1000">
            <a:solidFill>
              <a:schemeClr val="bg1"/>
            </a:solidFill>
          </a:endParaRPr>
        </a:p>
      </cdr:txBody>
    </cdr:sp>
  </cdr:relSizeAnchor>
</c:userShapes>
</file>

<file path=xl/drawings/drawing102.xml><?xml version="1.0" encoding="utf-8"?>
<c:userShapes xmlns:c="http://schemas.openxmlformats.org/drawingml/2006/chart">
  <cdr:relSizeAnchor xmlns:cdr="http://schemas.openxmlformats.org/drawingml/2006/chartDrawing">
    <cdr:from>
      <cdr:x>0.76972</cdr:x>
      <cdr:y>0.34572</cdr:y>
    </cdr:from>
    <cdr:to>
      <cdr:x>0.98151</cdr:x>
      <cdr:y>0.50625</cdr:y>
    </cdr:to>
    <cdr:sp macro="" textlink="">
      <cdr:nvSpPr>
        <cdr:cNvPr id="2" name="CaixaDeTexto 1"/>
        <cdr:cNvSpPr txBox="1"/>
      </cdr:nvSpPr>
      <cdr:spPr>
        <a:xfrm xmlns:a="http://schemas.openxmlformats.org/drawingml/2006/main">
          <a:off x="3950447" y="555064"/>
          <a:ext cx="1086970" cy="25773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pt-PT" sz="1000">
              <a:solidFill>
                <a:schemeClr val="bg1"/>
              </a:solidFill>
            </a:rPr>
            <a:t>Tempo</a:t>
          </a:r>
          <a:r>
            <a:rPr lang="pt-PT" sz="1000" baseline="0">
              <a:solidFill>
                <a:schemeClr val="bg1"/>
              </a:solidFill>
            </a:rPr>
            <a:t> inactivo</a:t>
          </a:r>
        </a:p>
      </cdr:txBody>
    </cdr:sp>
  </cdr:relSizeAnchor>
  <cdr:relSizeAnchor xmlns:cdr="http://schemas.openxmlformats.org/drawingml/2006/chartDrawing">
    <cdr:from>
      <cdr:x>0.88865</cdr:x>
      <cdr:y>0.48531</cdr:y>
    </cdr:from>
    <cdr:to>
      <cdr:x>1</cdr:x>
      <cdr:y>0.6142</cdr:y>
    </cdr:to>
    <cdr:sp macro="" textlink="">
      <cdr:nvSpPr>
        <cdr:cNvPr id="3" name="CaixaDeTexto 1"/>
        <cdr:cNvSpPr txBox="1"/>
      </cdr:nvSpPr>
      <cdr:spPr>
        <a:xfrm xmlns:a="http://schemas.openxmlformats.org/drawingml/2006/main">
          <a:off x="4560794" y="779182"/>
          <a:ext cx="571502" cy="20693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pt-PT" sz="1000" baseline="0">
              <a:solidFill>
                <a:schemeClr val="bg1"/>
              </a:solidFill>
            </a:rPr>
            <a:t>Tempo activo</a:t>
          </a:r>
          <a:endParaRPr lang="pt-PT" sz="1000">
            <a:solidFill>
              <a:schemeClr val="bg1"/>
            </a:solidFill>
          </a:endParaRPr>
        </a:p>
      </cdr:txBody>
    </cdr:sp>
  </cdr:relSizeAnchor>
</c:userShapes>
</file>

<file path=xl/drawings/drawing103.xml><?xml version="1.0" encoding="utf-8"?>
<c:userShapes xmlns:c="http://schemas.openxmlformats.org/drawingml/2006/chart">
  <cdr:relSizeAnchor xmlns:cdr="http://schemas.openxmlformats.org/drawingml/2006/chartDrawing">
    <cdr:from>
      <cdr:x>0.69985</cdr:x>
      <cdr:y>0.33874</cdr:y>
    </cdr:from>
    <cdr:to>
      <cdr:x>0.91164</cdr:x>
      <cdr:y>0.49927</cdr:y>
    </cdr:to>
    <cdr:sp macro="" textlink="">
      <cdr:nvSpPr>
        <cdr:cNvPr id="2" name="CaixaDeTexto 1"/>
        <cdr:cNvSpPr txBox="1"/>
      </cdr:nvSpPr>
      <cdr:spPr>
        <a:xfrm xmlns:a="http://schemas.openxmlformats.org/drawingml/2006/main">
          <a:off x="3591859" y="543859"/>
          <a:ext cx="1086970" cy="25773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pt-PT" sz="1000">
              <a:solidFill>
                <a:schemeClr val="bg1"/>
              </a:solidFill>
            </a:rPr>
            <a:t>Tempo</a:t>
          </a:r>
          <a:r>
            <a:rPr lang="pt-PT" sz="1000" baseline="0">
              <a:solidFill>
                <a:schemeClr val="bg1"/>
              </a:solidFill>
            </a:rPr>
            <a:t> inactivo</a:t>
          </a:r>
        </a:p>
      </cdr:txBody>
    </cdr:sp>
  </cdr:relSizeAnchor>
  <cdr:relSizeAnchor xmlns:cdr="http://schemas.openxmlformats.org/drawingml/2006/chartDrawing">
    <cdr:from>
      <cdr:x>0.87991</cdr:x>
      <cdr:y>0.45739</cdr:y>
    </cdr:from>
    <cdr:to>
      <cdr:x>1</cdr:x>
      <cdr:y>0.59326</cdr:y>
    </cdr:to>
    <cdr:sp macro="" textlink="">
      <cdr:nvSpPr>
        <cdr:cNvPr id="3" name="CaixaDeTexto 1"/>
        <cdr:cNvSpPr txBox="1"/>
      </cdr:nvSpPr>
      <cdr:spPr>
        <a:xfrm xmlns:a="http://schemas.openxmlformats.org/drawingml/2006/main">
          <a:off x="4515970" y="734358"/>
          <a:ext cx="616327" cy="21814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pt-PT" sz="1000" baseline="0">
              <a:solidFill>
                <a:schemeClr val="bg1"/>
              </a:solidFill>
            </a:rPr>
            <a:t>Tempo activo</a:t>
          </a:r>
          <a:endParaRPr lang="pt-PT" sz="1000">
            <a:solidFill>
              <a:schemeClr val="bg1"/>
            </a:solidFill>
          </a:endParaRPr>
        </a:p>
      </cdr:txBody>
    </cdr:sp>
  </cdr:relSizeAnchor>
</c:userShapes>
</file>

<file path=xl/drawings/drawing104.xml><?xml version="1.0" encoding="utf-8"?>
<c:userShapes xmlns:c="http://schemas.openxmlformats.org/drawingml/2006/chart">
  <cdr:relSizeAnchor xmlns:cdr="http://schemas.openxmlformats.org/drawingml/2006/chartDrawing">
    <cdr:from>
      <cdr:x>0.67584</cdr:x>
      <cdr:y>0.34572</cdr:y>
    </cdr:from>
    <cdr:to>
      <cdr:x>0.88763</cdr:x>
      <cdr:y>0.50625</cdr:y>
    </cdr:to>
    <cdr:sp macro="" textlink="">
      <cdr:nvSpPr>
        <cdr:cNvPr id="2" name="CaixaDeTexto 1"/>
        <cdr:cNvSpPr txBox="1"/>
      </cdr:nvSpPr>
      <cdr:spPr>
        <a:xfrm xmlns:a="http://schemas.openxmlformats.org/drawingml/2006/main">
          <a:off x="3468594" y="555064"/>
          <a:ext cx="1086970" cy="25773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pt-PT" sz="1000">
              <a:solidFill>
                <a:schemeClr val="bg1"/>
              </a:solidFill>
            </a:rPr>
            <a:t>Tempo</a:t>
          </a:r>
          <a:r>
            <a:rPr lang="pt-PT" sz="1000" baseline="0">
              <a:solidFill>
                <a:schemeClr val="bg1"/>
              </a:solidFill>
            </a:rPr>
            <a:t> inactivo</a:t>
          </a:r>
        </a:p>
      </cdr:txBody>
    </cdr:sp>
  </cdr:relSizeAnchor>
  <cdr:relSizeAnchor xmlns:cdr="http://schemas.openxmlformats.org/drawingml/2006/chartDrawing">
    <cdr:from>
      <cdr:x>0.86245</cdr:x>
      <cdr:y>0.4574</cdr:y>
    </cdr:from>
    <cdr:to>
      <cdr:x>1</cdr:x>
      <cdr:y>0.58768</cdr:y>
    </cdr:to>
    <cdr:sp macro="" textlink="">
      <cdr:nvSpPr>
        <cdr:cNvPr id="4" name="CaixaDeTexto 1"/>
        <cdr:cNvSpPr txBox="1"/>
      </cdr:nvSpPr>
      <cdr:spPr>
        <a:xfrm xmlns:a="http://schemas.openxmlformats.org/drawingml/2006/main">
          <a:off x="4426326" y="734359"/>
          <a:ext cx="705971" cy="20917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pt-PT" sz="1000" baseline="0">
              <a:solidFill>
                <a:schemeClr val="bg1"/>
              </a:solidFill>
            </a:rPr>
            <a:t>Tempo activo</a:t>
          </a:r>
          <a:endParaRPr lang="pt-PT" sz="1000">
            <a:solidFill>
              <a:schemeClr val="bg1"/>
            </a:solidFill>
          </a:endParaRPr>
        </a:p>
      </cdr:txBody>
    </cdr:sp>
  </cdr:relSizeAnchor>
</c:userShapes>
</file>

<file path=xl/drawings/drawing105.xml><?xml version="1.0" encoding="utf-8"?>
<xdr:wsDr xmlns:xdr="http://schemas.openxmlformats.org/drawingml/2006/spreadsheetDrawing" xmlns:a="http://schemas.openxmlformats.org/drawingml/2006/main">
  <xdr:twoCellAnchor>
    <xdr:from>
      <xdr:col>0</xdr:col>
      <xdr:colOff>0</xdr:colOff>
      <xdr:row>0</xdr:row>
      <xdr:rowOff>9525</xdr:rowOff>
    </xdr:from>
    <xdr:to>
      <xdr:col>1</xdr:col>
      <xdr:colOff>445297</xdr:colOff>
      <xdr:row>1</xdr:row>
      <xdr:rowOff>180975</xdr:rowOff>
    </xdr:to>
    <xdr:sp macro="" textlink="">
      <xdr:nvSpPr>
        <xdr:cNvPr id="3" name="Bisel 2">
          <a:hlinkClick xmlns:r="http://schemas.openxmlformats.org/officeDocument/2006/relationships" r:id="rId1"/>
        </xdr:cNvPr>
        <xdr:cNvSpPr/>
      </xdr:nvSpPr>
      <xdr:spPr>
        <a:xfrm>
          <a:off x="0" y="9525"/>
          <a:ext cx="645322" cy="36195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PT" sz="1100"/>
            <a:t>Index</a:t>
          </a:r>
        </a:p>
      </xdr:txBody>
    </xdr:sp>
    <xdr:clientData/>
  </xdr:twoCellAnchor>
  <xdr:twoCellAnchor editAs="oneCell">
    <xdr:from>
      <xdr:col>4</xdr:col>
      <xdr:colOff>609600</xdr:colOff>
      <xdr:row>23</xdr:row>
      <xdr:rowOff>85725</xdr:rowOff>
    </xdr:from>
    <xdr:to>
      <xdr:col>4</xdr:col>
      <xdr:colOff>942975</xdr:colOff>
      <xdr:row>26</xdr:row>
      <xdr:rowOff>145066</xdr:rowOff>
    </xdr:to>
    <xdr:pic>
      <xdr:nvPicPr>
        <xdr:cNvPr id="4" name="Imagem 3"/>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000375" y="7134225"/>
          <a:ext cx="1057275" cy="630841"/>
        </a:xfrm>
        <a:prstGeom prst="rect">
          <a:avLst/>
        </a:prstGeom>
      </xdr:spPr>
    </xdr:pic>
    <xdr:clientData/>
  </xdr:twoCellAnchor>
  <xdr:twoCellAnchor editAs="oneCell">
    <xdr:from>
      <xdr:col>3</xdr:col>
      <xdr:colOff>47625</xdr:colOff>
      <xdr:row>28</xdr:row>
      <xdr:rowOff>180976</xdr:rowOff>
    </xdr:from>
    <xdr:to>
      <xdr:col>4</xdr:col>
      <xdr:colOff>123825</xdr:colOff>
      <xdr:row>32</xdr:row>
      <xdr:rowOff>48968</xdr:rowOff>
    </xdr:to>
    <xdr:pic>
      <xdr:nvPicPr>
        <xdr:cNvPr id="5" name="Imagem 4" descr="http://www.infoescola.com/wp-content/uploads/2009/08/full-1-d9e96191be.jpg"/>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743075" y="8181976"/>
          <a:ext cx="857250" cy="6299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627529</xdr:colOff>
      <xdr:row>18</xdr:row>
      <xdr:rowOff>112058</xdr:rowOff>
    </xdr:from>
    <xdr:to>
      <xdr:col>14</xdr:col>
      <xdr:colOff>347382</xdr:colOff>
      <xdr:row>22</xdr:row>
      <xdr:rowOff>168088</xdr:rowOff>
    </xdr:to>
    <xdr:sp macro="" textlink="">
      <xdr:nvSpPr>
        <xdr:cNvPr id="2" name="CaixaDeTexto 1"/>
        <xdr:cNvSpPr txBox="1"/>
      </xdr:nvSpPr>
      <xdr:spPr>
        <a:xfrm>
          <a:off x="5681382" y="3541058"/>
          <a:ext cx="5535706" cy="81803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PT" sz="1400" b="1"/>
            <a:t>Nota:</a:t>
          </a:r>
        </a:p>
        <a:p>
          <a:r>
            <a:rPr lang="pt-PT" sz="1400" b="1"/>
            <a:t>Forno 1 parou em inicio</a:t>
          </a:r>
          <a:r>
            <a:rPr lang="pt-PT" sz="1400" b="1" baseline="0"/>
            <a:t> de 2011 tendo sido a última vez que funcionou.</a:t>
          </a:r>
        </a:p>
        <a:p>
          <a:r>
            <a:rPr lang="pt-PT" sz="1400" b="1" baseline="0"/>
            <a:t>Instalação parada até à data de hoje.</a:t>
          </a:r>
          <a:endParaRPr lang="pt-PT" sz="1400" b="1"/>
        </a:p>
      </xdr:txBody>
    </xdr:sp>
    <xdr:clientData/>
  </xdr:twoCellAnchor>
</xdr:wsDr>
</file>

<file path=xl/drawings/drawing106.xml><?xml version="1.0" encoding="utf-8"?>
<xdr:wsDr xmlns:xdr="http://schemas.openxmlformats.org/drawingml/2006/spreadsheetDrawing" xmlns:a="http://schemas.openxmlformats.org/drawingml/2006/main">
  <xdr:twoCellAnchor editAs="oneCell">
    <xdr:from>
      <xdr:col>4</xdr:col>
      <xdr:colOff>609600</xdr:colOff>
      <xdr:row>63</xdr:row>
      <xdr:rowOff>85725</xdr:rowOff>
    </xdr:from>
    <xdr:to>
      <xdr:col>4</xdr:col>
      <xdr:colOff>609600</xdr:colOff>
      <xdr:row>66</xdr:row>
      <xdr:rowOff>145066</xdr:rowOff>
    </xdr:to>
    <xdr:pic>
      <xdr:nvPicPr>
        <xdr:cNvPr id="4" name="Imagem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00375" y="4276725"/>
          <a:ext cx="333375" cy="630841"/>
        </a:xfrm>
        <a:prstGeom prst="rect">
          <a:avLst/>
        </a:prstGeom>
      </xdr:spPr>
    </xdr:pic>
    <xdr:clientData/>
  </xdr:twoCellAnchor>
  <xdr:twoCellAnchor editAs="oneCell">
    <xdr:from>
      <xdr:col>3</xdr:col>
      <xdr:colOff>47625</xdr:colOff>
      <xdr:row>68</xdr:row>
      <xdr:rowOff>180976</xdr:rowOff>
    </xdr:from>
    <xdr:to>
      <xdr:col>4</xdr:col>
      <xdr:colOff>38100</xdr:colOff>
      <xdr:row>72</xdr:row>
      <xdr:rowOff>48968</xdr:rowOff>
    </xdr:to>
    <xdr:pic>
      <xdr:nvPicPr>
        <xdr:cNvPr id="5" name="Imagem 4" descr="http://www.infoescola.com/wp-content/uploads/2009/08/full-1-d9e96191be.jpg"/>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43075" y="5324476"/>
          <a:ext cx="771525" cy="6299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19050</xdr:rowOff>
    </xdr:from>
    <xdr:to>
      <xdr:col>1</xdr:col>
      <xdr:colOff>445297</xdr:colOff>
      <xdr:row>2</xdr:row>
      <xdr:rowOff>0</xdr:rowOff>
    </xdr:to>
    <xdr:sp macro="" textlink="">
      <xdr:nvSpPr>
        <xdr:cNvPr id="6" name="Bisel 5">
          <a:hlinkClick xmlns:r="http://schemas.openxmlformats.org/officeDocument/2006/relationships" r:id="rId3"/>
        </xdr:cNvPr>
        <xdr:cNvSpPr/>
      </xdr:nvSpPr>
      <xdr:spPr>
        <a:xfrm>
          <a:off x="0" y="19050"/>
          <a:ext cx="645322" cy="36195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PT" sz="1100"/>
            <a:t>Index</a:t>
          </a:r>
        </a:p>
      </xdr:txBody>
    </xdr:sp>
    <xdr:clientData/>
  </xdr:twoCellAnchor>
  <xdr:twoCellAnchor editAs="oneCell">
    <xdr:from>
      <xdr:col>1</xdr:col>
      <xdr:colOff>0</xdr:colOff>
      <xdr:row>74</xdr:row>
      <xdr:rowOff>0</xdr:rowOff>
    </xdr:from>
    <xdr:to>
      <xdr:col>6</xdr:col>
      <xdr:colOff>650331</xdr:colOff>
      <xdr:row>77</xdr:row>
      <xdr:rowOff>176420</xdr:rowOff>
    </xdr:to>
    <xdr:pic>
      <xdr:nvPicPr>
        <xdr:cNvPr id="7" name="Picture 58"/>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t="46773"/>
        <a:stretch/>
      </xdr:blipFill>
      <xdr:spPr bwMode="auto">
        <a:xfrm>
          <a:off x="201706" y="13716000"/>
          <a:ext cx="4964596" cy="747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51</xdr:col>
      <xdr:colOff>369794</xdr:colOff>
      <xdr:row>2</xdr:row>
      <xdr:rowOff>45942</xdr:rowOff>
    </xdr:from>
    <xdr:to>
      <xdr:col>63</xdr:col>
      <xdr:colOff>336179</xdr:colOff>
      <xdr:row>18</xdr:row>
      <xdr:rowOff>11206</xdr:rowOff>
    </xdr:to>
    <xdr:graphicFrame macro="">
      <xdr:nvGraphicFramePr>
        <xdr:cNvPr id="8" name="Gráfico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51</xdr:col>
      <xdr:colOff>369795</xdr:colOff>
      <xdr:row>19</xdr:row>
      <xdr:rowOff>0</xdr:rowOff>
    </xdr:from>
    <xdr:to>
      <xdr:col>63</xdr:col>
      <xdr:colOff>336180</xdr:colOff>
      <xdr:row>34</xdr:row>
      <xdr:rowOff>155764</xdr:rowOff>
    </xdr:to>
    <xdr:graphicFrame macro="">
      <xdr:nvGraphicFramePr>
        <xdr:cNvPr id="9" name="Gráfico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51</xdr:col>
      <xdr:colOff>358588</xdr:colOff>
      <xdr:row>35</xdr:row>
      <xdr:rowOff>89647</xdr:rowOff>
    </xdr:from>
    <xdr:to>
      <xdr:col>63</xdr:col>
      <xdr:colOff>324973</xdr:colOff>
      <xdr:row>51</xdr:row>
      <xdr:rowOff>54911</xdr:rowOff>
    </xdr:to>
    <xdr:graphicFrame macro="">
      <xdr:nvGraphicFramePr>
        <xdr:cNvPr id="10" name="Gráfico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51</xdr:col>
      <xdr:colOff>358589</xdr:colOff>
      <xdr:row>52</xdr:row>
      <xdr:rowOff>43705</xdr:rowOff>
    </xdr:from>
    <xdr:to>
      <xdr:col>63</xdr:col>
      <xdr:colOff>324974</xdr:colOff>
      <xdr:row>68</xdr:row>
      <xdr:rowOff>8969</xdr:rowOff>
    </xdr:to>
    <xdr:graphicFrame macro="">
      <xdr:nvGraphicFramePr>
        <xdr:cNvPr id="11" name="Gráfico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107.xml><?xml version="1.0" encoding="utf-8"?>
<xdr:wsDr xmlns:xdr="http://schemas.openxmlformats.org/drawingml/2006/spreadsheetDrawing" xmlns:a="http://schemas.openxmlformats.org/drawingml/2006/main">
  <xdr:twoCellAnchor editAs="oneCell">
    <xdr:from>
      <xdr:col>1</xdr:col>
      <xdr:colOff>0</xdr:colOff>
      <xdr:row>49</xdr:row>
      <xdr:rowOff>0</xdr:rowOff>
    </xdr:from>
    <xdr:to>
      <xdr:col>1</xdr:col>
      <xdr:colOff>0</xdr:colOff>
      <xdr:row>52</xdr:row>
      <xdr:rowOff>59341</xdr:rowOff>
    </xdr:to>
    <xdr:pic>
      <xdr:nvPicPr>
        <xdr:cNvPr id="2" name="Imagem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0025" y="9334500"/>
          <a:ext cx="0" cy="630841"/>
        </a:xfrm>
        <a:prstGeom prst="rect">
          <a:avLst/>
        </a:prstGeom>
      </xdr:spPr>
    </xdr:pic>
    <xdr:clientData/>
  </xdr:twoCellAnchor>
  <xdr:twoCellAnchor>
    <xdr:from>
      <xdr:col>0</xdr:col>
      <xdr:colOff>11906</xdr:colOff>
      <xdr:row>0</xdr:row>
      <xdr:rowOff>23813</xdr:rowOff>
    </xdr:from>
    <xdr:to>
      <xdr:col>1</xdr:col>
      <xdr:colOff>456503</xdr:colOff>
      <xdr:row>2</xdr:row>
      <xdr:rowOff>4763</xdr:rowOff>
    </xdr:to>
    <xdr:sp macro="" textlink="">
      <xdr:nvSpPr>
        <xdr:cNvPr id="3" name="Bisel 2">
          <a:hlinkClick xmlns:r="http://schemas.openxmlformats.org/officeDocument/2006/relationships" r:id="rId2"/>
        </xdr:cNvPr>
        <xdr:cNvSpPr/>
      </xdr:nvSpPr>
      <xdr:spPr>
        <a:xfrm>
          <a:off x="11906" y="23813"/>
          <a:ext cx="644622" cy="36195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PT" sz="1100"/>
            <a:t>Index</a:t>
          </a:r>
        </a:p>
      </xdr:txBody>
    </xdr:sp>
    <xdr:clientData/>
  </xdr:twoCellAnchor>
  <xdr:twoCellAnchor editAs="oneCell">
    <xdr:from>
      <xdr:col>14</xdr:col>
      <xdr:colOff>453573</xdr:colOff>
      <xdr:row>41</xdr:row>
      <xdr:rowOff>148169</xdr:rowOff>
    </xdr:from>
    <xdr:to>
      <xdr:col>20</xdr:col>
      <xdr:colOff>701039</xdr:colOff>
      <xdr:row>49</xdr:row>
      <xdr:rowOff>148168</xdr:rowOff>
    </xdr:to>
    <xdr:pic>
      <xdr:nvPicPr>
        <xdr:cNvPr id="7" name="Imagem 6"/>
        <xdr:cNvPicPr>
          <a:picLocks noChangeAspect="1"/>
        </xdr:cNvPicPr>
      </xdr:nvPicPr>
      <xdr:blipFill rotWithShape="1">
        <a:blip xmlns:r="http://schemas.openxmlformats.org/officeDocument/2006/relationships" r:embed="rId3"/>
        <a:srcRect l="21651" t="58415" r="56175" b="27632"/>
        <a:stretch/>
      </xdr:blipFill>
      <xdr:spPr>
        <a:xfrm>
          <a:off x="11925906" y="7958669"/>
          <a:ext cx="3930466" cy="1523999"/>
        </a:xfrm>
        <a:prstGeom prst="rect">
          <a:avLst/>
        </a:prstGeom>
      </xdr:spPr>
    </xdr:pic>
    <xdr:clientData/>
  </xdr:twoCellAnchor>
  <xdr:twoCellAnchor editAs="oneCell">
    <xdr:from>
      <xdr:col>21</xdr:col>
      <xdr:colOff>95249</xdr:colOff>
      <xdr:row>7</xdr:row>
      <xdr:rowOff>57873</xdr:rowOff>
    </xdr:from>
    <xdr:to>
      <xdr:col>22</xdr:col>
      <xdr:colOff>518583</xdr:colOff>
      <xdr:row>9</xdr:row>
      <xdr:rowOff>162909</xdr:rowOff>
    </xdr:to>
    <xdr:pic>
      <xdr:nvPicPr>
        <xdr:cNvPr id="8" name="Imagem 7"/>
        <xdr:cNvPicPr>
          <a:picLocks noChangeAspect="1"/>
        </xdr:cNvPicPr>
      </xdr:nvPicPr>
      <xdr:blipFill rotWithShape="1">
        <a:blip xmlns:r="http://schemas.openxmlformats.org/officeDocument/2006/relationships" r:embed="rId4"/>
        <a:srcRect l="8472" t="43532" r="81278" b="47910"/>
        <a:stretch/>
      </xdr:blipFill>
      <xdr:spPr>
        <a:xfrm>
          <a:off x="16076082" y="1391373"/>
          <a:ext cx="1037168" cy="486036"/>
        </a:xfrm>
        <a:prstGeom prst="rect">
          <a:avLst/>
        </a:prstGeom>
      </xdr:spPr>
    </xdr:pic>
    <xdr:clientData/>
  </xdr:twoCellAnchor>
  <xdr:twoCellAnchor>
    <xdr:from>
      <xdr:col>25</xdr:col>
      <xdr:colOff>428624</xdr:colOff>
      <xdr:row>6</xdr:row>
      <xdr:rowOff>27384</xdr:rowOff>
    </xdr:from>
    <xdr:to>
      <xdr:col>36</xdr:col>
      <xdr:colOff>142874</xdr:colOff>
      <xdr:row>22</xdr:row>
      <xdr:rowOff>133350</xdr:rowOff>
    </xdr:to>
    <xdr:graphicFrame macro="">
      <xdr:nvGraphicFramePr>
        <xdr:cNvPr id="5" name="Gráfico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49</xdr:col>
      <xdr:colOff>95249</xdr:colOff>
      <xdr:row>7</xdr:row>
      <xdr:rowOff>57873</xdr:rowOff>
    </xdr:from>
    <xdr:to>
      <xdr:col>50</xdr:col>
      <xdr:colOff>518584</xdr:colOff>
      <xdr:row>9</xdr:row>
      <xdr:rowOff>162909</xdr:rowOff>
    </xdr:to>
    <xdr:pic>
      <xdr:nvPicPr>
        <xdr:cNvPr id="10" name="Imagem 9"/>
        <xdr:cNvPicPr>
          <a:picLocks noChangeAspect="1"/>
        </xdr:cNvPicPr>
      </xdr:nvPicPr>
      <xdr:blipFill rotWithShape="1">
        <a:blip xmlns:r="http://schemas.openxmlformats.org/officeDocument/2006/relationships" r:embed="rId4"/>
        <a:srcRect l="8472" t="43532" r="81278" b="47910"/>
        <a:stretch/>
      </xdr:blipFill>
      <xdr:spPr>
        <a:xfrm>
          <a:off x="16076082" y="1391373"/>
          <a:ext cx="1037168" cy="486036"/>
        </a:xfrm>
        <a:prstGeom prst="rect">
          <a:avLst/>
        </a:prstGeom>
      </xdr:spPr>
    </xdr:pic>
    <xdr:clientData/>
  </xdr:twoCellAnchor>
  <xdr:twoCellAnchor editAs="oneCell">
    <xdr:from>
      <xdr:col>42</xdr:col>
      <xdr:colOff>453573</xdr:colOff>
      <xdr:row>17</xdr:row>
      <xdr:rowOff>148169</xdr:rowOff>
    </xdr:from>
    <xdr:to>
      <xdr:col>48</xdr:col>
      <xdr:colOff>701039</xdr:colOff>
      <xdr:row>25</xdr:row>
      <xdr:rowOff>148168</xdr:rowOff>
    </xdr:to>
    <xdr:pic>
      <xdr:nvPicPr>
        <xdr:cNvPr id="11" name="Imagem 10"/>
        <xdr:cNvPicPr>
          <a:picLocks noChangeAspect="1"/>
        </xdr:cNvPicPr>
      </xdr:nvPicPr>
      <xdr:blipFill rotWithShape="1">
        <a:blip xmlns:r="http://schemas.openxmlformats.org/officeDocument/2006/relationships" r:embed="rId3"/>
        <a:srcRect l="21651" t="58415" r="56175" b="27632"/>
        <a:stretch/>
      </xdr:blipFill>
      <xdr:spPr>
        <a:xfrm>
          <a:off x="11925906" y="7958669"/>
          <a:ext cx="3930466" cy="1523999"/>
        </a:xfrm>
        <a:prstGeom prst="rect">
          <a:avLst/>
        </a:prstGeom>
      </xdr:spPr>
    </xdr:pic>
    <xdr:clientData/>
  </xdr:twoCellAnchor>
  <xdr:twoCellAnchor>
    <xdr:from>
      <xdr:col>53</xdr:col>
      <xdr:colOff>349250</xdr:colOff>
      <xdr:row>5</xdr:row>
      <xdr:rowOff>52917</xdr:rowOff>
    </xdr:from>
    <xdr:to>
      <xdr:col>64</xdr:col>
      <xdr:colOff>63500</xdr:colOff>
      <xdr:row>21</xdr:row>
      <xdr:rowOff>158883</xdr:rowOff>
    </xdr:to>
    <xdr:graphicFrame macro="">
      <xdr:nvGraphicFramePr>
        <xdr:cNvPr id="12" name="Gráfico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42</xdr:col>
      <xdr:colOff>453573</xdr:colOff>
      <xdr:row>41</xdr:row>
      <xdr:rowOff>148169</xdr:rowOff>
    </xdr:from>
    <xdr:to>
      <xdr:col>48</xdr:col>
      <xdr:colOff>701039</xdr:colOff>
      <xdr:row>49</xdr:row>
      <xdr:rowOff>148168</xdr:rowOff>
    </xdr:to>
    <xdr:pic>
      <xdr:nvPicPr>
        <xdr:cNvPr id="13" name="Imagem 12"/>
        <xdr:cNvPicPr>
          <a:picLocks noChangeAspect="1"/>
        </xdr:cNvPicPr>
      </xdr:nvPicPr>
      <xdr:blipFill rotWithShape="1">
        <a:blip xmlns:r="http://schemas.openxmlformats.org/officeDocument/2006/relationships" r:embed="rId3"/>
        <a:srcRect l="21651" t="58415" r="56175" b="27632"/>
        <a:stretch/>
      </xdr:blipFill>
      <xdr:spPr>
        <a:xfrm>
          <a:off x="8403167" y="7958669"/>
          <a:ext cx="3930466" cy="1523999"/>
        </a:xfrm>
        <a:prstGeom prst="rect">
          <a:avLst/>
        </a:prstGeom>
      </xdr:spPr>
    </xdr:pic>
    <xdr:clientData/>
  </xdr:twoCellAnchor>
  <xdr:twoCellAnchor editAs="oneCell">
    <xdr:from>
      <xdr:col>49</xdr:col>
      <xdr:colOff>95249</xdr:colOff>
      <xdr:row>7</xdr:row>
      <xdr:rowOff>57873</xdr:rowOff>
    </xdr:from>
    <xdr:to>
      <xdr:col>50</xdr:col>
      <xdr:colOff>518584</xdr:colOff>
      <xdr:row>9</xdr:row>
      <xdr:rowOff>162909</xdr:rowOff>
    </xdr:to>
    <xdr:pic>
      <xdr:nvPicPr>
        <xdr:cNvPr id="14" name="Imagem 13"/>
        <xdr:cNvPicPr>
          <a:picLocks noChangeAspect="1"/>
        </xdr:cNvPicPr>
      </xdr:nvPicPr>
      <xdr:blipFill rotWithShape="1">
        <a:blip xmlns:r="http://schemas.openxmlformats.org/officeDocument/2006/relationships" r:embed="rId4"/>
        <a:srcRect l="8472" t="43532" r="81278" b="47910"/>
        <a:stretch/>
      </xdr:blipFill>
      <xdr:spPr>
        <a:xfrm>
          <a:off x="8403167" y="1391373"/>
          <a:ext cx="1037168" cy="486036"/>
        </a:xfrm>
        <a:prstGeom prst="rect">
          <a:avLst/>
        </a:prstGeom>
      </xdr:spPr>
    </xdr:pic>
    <xdr:clientData/>
  </xdr:twoCellAnchor>
  <xdr:twoCellAnchor editAs="oneCell">
    <xdr:from>
      <xdr:col>77</xdr:col>
      <xdr:colOff>95249</xdr:colOff>
      <xdr:row>7</xdr:row>
      <xdr:rowOff>57873</xdr:rowOff>
    </xdr:from>
    <xdr:to>
      <xdr:col>78</xdr:col>
      <xdr:colOff>518584</xdr:colOff>
      <xdr:row>9</xdr:row>
      <xdr:rowOff>162909</xdr:rowOff>
    </xdr:to>
    <xdr:pic>
      <xdr:nvPicPr>
        <xdr:cNvPr id="15" name="Imagem 14"/>
        <xdr:cNvPicPr>
          <a:picLocks noChangeAspect="1"/>
        </xdr:cNvPicPr>
      </xdr:nvPicPr>
      <xdr:blipFill rotWithShape="1">
        <a:blip xmlns:r="http://schemas.openxmlformats.org/officeDocument/2006/relationships" r:embed="rId4"/>
        <a:srcRect l="8472" t="43532" r="81278" b="47910"/>
        <a:stretch/>
      </xdr:blipFill>
      <xdr:spPr>
        <a:xfrm>
          <a:off x="16689916" y="1391373"/>
          <a:ext cx="1037168" cy="486036"/>
        </a:xfrm>
        <a:prstGeom prst="rect">
          <a:avLst/>
        </a:prstGeom>
      </xdr:spPr>
    </xdr:pic>
    <xdr:clientData/>
  </xdr:twoCellAnchor>
  <xdr:twoCellAnchor editAs="oneCell">
    <xdr:from>
      <xdr:col>70</xdr:col>
      <xdr:colOff>453573</xdr:colOff>
      <xdr:row>19</xdr:row>
      <xdr:rowOff>148169</xdr:rowOff>
    </xdr:from>
    <xdr:to>
      <xdr:col>76</xdr:col>
      <xdr:colOff>701039</xdr:colOff>
      <xdr:row>27</xdr:row>
      <xdr:rowOff>148168</xdr:rowOff>
    </xdr:to>
    <xdr:pic>
      <xdr:nvPicPr>
        <xdr:cNvPr id="16" name="Imagem 15"/>
        <xdr:cNvPicPr>
          <a:picLocks noChangeAspect="1"/>
        </xdr:cNvPicPr>
      </xdr:nvPicPr>
      <xdr:blipFill rotWithShape="1">
        <a:blip xmlns:r="http://schemas.openxmlformats.org/officeDocument/2006/relationships" r:embed="rId3"/>
        <a:srcRect l="21651" t="58415" r="56175" b="27632"/>
        <a:stretch/>
      </xdr:blipFill>
      <xdr:spPr>
        <a:xfrm>
          <a:off x="12539740" y="3386669"/>
          <a:ext cx="3930466" cy="1523999"/>
        </a:xfrm>
        <a:prstGeom prst="rect">
          <a:avLst/>
        </a:prstGeom>
      </xdr:spPr>
    </xdr:pic>
    <xdr:clientData/>
  </xdr:twoCellAnchor>
  <xdr:twoCellAnchor>
    <xdr:from>
      <xdr:col>81</xdr:col>
      <xdr:colOff>349250</xdr:colOff>
      <xdr:row>5</xdr:row>
      <xdr:rowOff>52917</xdr:rowOff>
    </xdr:from>
    <xdr:to>
      <xdr:col>92</xdr:col>
      <xdr:colOff>63500</xdr:colOff>
      <xdr:row>21</xdr:row>
      <xdr:rowOff>158883</xdr:rowOff>
    </xdr:to>
    <xdr:graphicFrame macro="">
      <xdr:nvGraphicFramePr>
        <xdr:cNvPr id="17" name="Gráfico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108.xml><?xml version="1.0" encoding="utf-8"?>
<c:userShapes xmlns:c="http://schemas.openxmlformats.org/drawingml/2006/chart">
  <cdr:relSizeAnchor xmlns:cdr="http://schemas.openxmlformats.org/drawingml/2006/chartDrawing">
    <cdr:from>
      <cdr:x>0.35163</cdr:x>
      <cdr:y>0.08192</cdr:y>
    </cdr:from>
    <cdr:to>
      <cdr:x>0.72107</cdr:x>
      <cdr:y>0.19064</cdr:y>
    </cdr:to>
    <cdr:sp macro="" textlink="">
      <cdr:nvSpPr>
        <cdr:cNvPr id="2" name="CaixaDeTexto 1"/>
        <cdr:cNvSpPr txBox="1"/>
      </cdr:nvSpPr>
      <cdr:spPr>
        <a:xfrm xmlns:a="http://schemas.openxmlformats.org/drawingml/2006/main">
          <a:off x="2257425" y="258366"/>
          <a:ext cx="2371725" cy="3429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pt-PT" sz="1100"/>
            <a:t>Forno 2 - Câmara de Fumos</a:t>
          </a:r>
        </a:p>
      </cdr:txBody>
    </cdr:sp>
  </cdr:relSizeAnchor>
</c:userShapes>
</file>

<file path=xl/drawings/drawing109.xml><?xml version="1.0" encoding="utf-8"?>
<c:userShapes xmlns:c="http://schemas.openxmlformats.org/drawingml/2006/chart">
  <cdr:relSizeAnchor xmlns:cdr="http://schemas.openxmlformats.org/drawingml/2006/chartDrawing">
    <cdr:from>
      <cdr:x>0.35163</cdr:x>
      <cdr:y>0.08192</cdr:y>
    </cdr:from>
    <cdr:to>
      <cdr:x>0.72107</cdr:x>
      <cdr:y>0.19064</cdr:y>
    </cdr:to>
    <cdr:sp macro="" textlink="">
      <cdr:nvSpPr>
        <cdr:cNvPr id="2" name="CaixaDeTexto 1"/>
        <cdr:cNvSpPr txBox="1"/>
      </cdr:nvSpPr>
      <cdr:spPr>
        <a:xfrm xmlns:a="http://schemas.openxmlformats.org/drawingml/2006/main">
          <a:off x="2257425" y="258366"/>
          <a:ext cx="2371725" cy="3429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pt-PT" sz="1100"/>
            <a:t>Forno 2 - Electrofiltro</a:t>
          </a:r>
        </a:p>
      </cdr:txBody>
    </cdr:sp>
  </cdr:relSizeAnchor>
</c:userShapes>
</file>

<file path=xl/drawings/drawing11.xml><?xml version="1.0" encoding="utf-8"?>
<c:userShapes xmlns:c="http://schemas.openxmlformats.org/drawingml/2006/chart">
  <cdr:relSizeAnchor xmlns:cdr="http://schemas.openxmlformats.org/drawingml/2006/chartDrawing">
    <cdr:from>
      <cdr:x>0.7709</cdr:x>
      <cdr:y>0.30698</cdr:y>
    </cdr:from>
    <cdr:to>
      <cdr:x>0.97478</cdr:x>
      <cdr:y>0.46205</cdr:y>
    </cdr:to>
    <cdr:sp macro="" textlink="">
      <cdr:nvSpPr>
        <cdr:cNvPr id="2" name="CaixaDeTexto 1"/>
        <cdr:cNvSpPr txBox="1"/>
      </cdr:nvSpPr>
      <cdr:spPr>
        <a:xfrm xmlns:a="http://schemas.openxmlformats.org/drawingml/2006/main">
          <a:off x="4110039" y="510241"/>
          <a:ext cx="1086970" cy="25773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pt-PT" sz="1000">
              <a:solidFill>
                <a:schemeClr val="bg1"/>
              </a:solidFill>
            </a:rPr>
            <a:t>Tempo</a:t>
          </a:r>
          <a:r>
            <a:rPr lang="pt-PT" sz="1000" baseline="0">
              <a:solidFill>
                <a:schemeClr val="bg1"/>
              </a:solidFill>
            </a:rPr>
            <a:t> inactivo</a:t>
          </a:r>
        </a:p>
      </cdr:txBody>
    </cdr:sp>
  </cdr:relSizeAnchor>
  <cdr:relSizeAnchor xmlns:cdr="http://schemas.openxmlformats.org/drawingml/2006/chartDrawing">
    <cdr:from>
      <cdr:x>0.84026</cdr:x>
      <cdr:y>0.52273</cdr:y>
    </cdr:from>
    <cdr:to>
      <cdr:x>1</cdr:x>
      <cdr:y>0.67369</cdr:y>
    </cdr:to>
    <cdr:sp macro="" textlink="">
      <cdr:nvSpPr>
        <cdr:cNvPr id="3" name="CaixaDeTexto 1"/>
        <cdr:cNvSpPr txBox="1"/>
      </cdr:nvSpPr>
      <cdr:spPr>
        <a:xfrm xmlns:a="http://schemas.openxmlformats.org/drawingml/2006/main">
          <a:off x="4479832" y="868829"/>
          <a:ext cx="851647" cy="25091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pt-PT" sz="900" baseline="0">
              <a:solidFill>
                <a:schemeClr val="bg1"/>
              </a:solidFill>
            </a:rPr>
            <a:t>Tempo activo</a:t>
          </a:r>
          <a:endParaRPr lang="pt-PT" sz="900">
            <a:solidFill>
              <a:schemeClr val="bg1"/>
            </a:solidFill>
          </a:endParaRPr>
        </a:p>
      </cdr:txBody>
    </cdr:sp>
  </cdr:relSizeAnchor>
</c:userShapes>
</file>

<file path=xl/drawings/drawing110.xml><?xml version="1.0" encoding="utf-8"?>
<c:userShapes xmlns:c="http://schemas.openxmlformats.org/drawingml/2006/chart">
  <cdr:relSizeAnchor xmlns:cdr="http://schemas.openxmlformats.org/drawingml/2006/chartDrawing">
    <cdr:from>
      <cdr:x>0.35163</cdr:x>
      <cdr:y>0.08192</cdr:y>
    </cdr:from>
    <cdr:to>
      <cdr:x>0.72107</cdr:x>
      <cdr:y>0.19064</cdr:y>
    </cdr:to>
    <cdr:sp macro="" textlink="">
      <cdr:nvSpPr>
        <cdr:cNvPr id="2" name="CaixaDeTexto 1"/>
        <cdr:cNvSpPr txBox="1"/>
      </cdr:nvSpPr>
      <cdr:spPr>
        <a:xfrm xmlns:a="http://schemas.openxmlformats.org/drawingml/2006/main">
          <a:off x="2257425" y="258366"/>
          <a:ext cx="2371725" cy="3429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pt-PT" sz="1100"/>
            <a:t>Forno 2 - Chaminé</a:t>
          </a:r>
        </a:p>
      </cdr:txBody>
    </cdr:sp>
  </cdr:relSizeAnchor>
</c:userShapes>
</file>

<file path=xl/drawings/drawing111.xml><?xml version="1.0" encoding="utf-8"?>
<xdr:wsDr xmlns:xdr="http://schemas.openxmlformats.org/drawingml/2006/spreadsheetDrawing" xmlns:a="http://schemas.openxmlformats.org/drawingml/2006/main">
  <xdr:twoCellAnchor editAs="oneCell">
    <xdr:from>
      <xdr:col>1</xdr:col>
      <xdr:colOff>0</xdr:colOff>
      <xdr:row>49</xdr:row>
      <xdr:rowOff>0</xdr:rowOff>
    </xdr:from>
    <xdr:to>
      <xdr:col>1</xdr:col>
      <xdr:colOff>0</xdr:colOff>
      <xdr:row>52</xdr:row>
      <xdr:rowOff>59341</xdr:rowOff>
    </xdr:to>
    <xdr:pic>
      <xdr:nvPicPr>
        <xdr:cNvPr id="2" name="Imagem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0025" y="9334500"/>
          <a:ext cx="0" cy="630841"/>
        </a:xfrm>
        <a:prstGeom prst="rect">
          <a:avLst/>
        </a:prstGeom>
      </xdr:spPr>
    </xdr:pic>
    <xdr:clientData/>
  </xdr:twoCellAnchor>
  <xdr:twoCellAnchor>
    <xdr:from>
      <xdr:col>0</xdr:col>
      <xdr:colOff>11906</xdr:colOff>
      <xdr:row>0</xdr:row>
      <xdr:rowOff>23813</xdr:rowOff>
    </xdr:from>
    <xdr:to>
      <xdr:col>1</xdr:col>
      <xdr:colOff>456503</xdr:colOff>
      <xdr:row>2</xdr:row>
      <xdr:rowOff>4763</xdr:rowOff>
    </xdr:to>
    <xdr:sp macro="" textlink="">
      <xdr:nvSpPr>
        <xdr:cNvPr id="3" name="Bisel 2">
          <a:hlinkClick xmlns:r="http://schemas.openxmlformats.org/officeDocument/2006/relationships" r:id="rId2"/>
        </xdr:cNvPr>
        <xdr:cNvSpPr/>
      </xdr:nvSpPr>
      <xdr:spPr>
        <a:xfrm>
          <a:off x="11906" y="23813"/>
          <a:ext cx="644622" cy="36195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PT" sz="1100"/>
            <a:t>Index</a:t>
          </a:r>
        </a:p>
      </xdr:txBody>
    </xdr:sp>
    <xdr:clientData/>
  </xdr:twoCellAnchor>
  <xdr:twoCellAnchor>
    <xdr:from>
      <xdr:col>23</xdr:col>
      <xdr:colOff>0</xdr:colOff>
      <xdr:row>21</xdr:row>
      <xdr:rowOff>0</xdr:rowOff>
    </xdr:from>
    <xdr:to>
      <xdr:col>34</xdr:col>
      <xdr:colOff>548391</xdr:colOff>
      <xdr:row>36</xdr:row>
      <xdr:rowOff>155764</xdr:rowOff>
    </xdr:to>
    <xdr:graphicFrame macro="">
      <xdr:nvGraphicFramePr>
        <xdr:cNvPr id="4" name="Gráfico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23</xdr:col>
      <xdr:colOff>11907</xdr:colOff>
      <xdr:row>4</xdr:row>
      <xdr:rowOff>119063</xdr:rowOff>
    </xdr:from>
    <xdr:to>
      <xdr:col>34</xdr:col>
      <xdr:colOff>560298</xdr:colOff>
      <xdr:row>20</xdr:row>
      <xdr:rowOff>84327</xdr:rowOff>
    </xdr:to>
    <xdr:graphicFrame macro="">
      <xdr:nvGraphicFramePr>
        <xdr:cNvPr id="5" name="Gráfico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22</xdr:col>
      <xdr:colOff>583406</xdr:colOff>
      <xdr:row>37</xdr:row>
      <xdr:rowOff>71437</xdr:rowOff>
    </xdr:from>
    <xdr:to>
      <xdr:col>34</xdr:col>
      <xdr:colOff>524578</xdr:colOff>
      <xdr:row>53</xdr:row>
      <xdr:rowOff>36701</xdr:rowOff>
    </xdr:to>
    <xdr:graphicFrame macro="">
      <xdr:nvGraphicFramePr>
        <xdr:cNvPr id="6" name="Gráfico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55</xdr:col>
      <xdr:colOff>0</xdr:colOff>
      <xdr:row>3</xdr:row>
      <xdr:rowOff>0</xdr:rowOff>
    </xdr:from>
    <xdr:to>
      <xdr:col>66</xdr:col>
      <xdr:colOff>548391</xdr:colOff>
      <xdr:row>18</xdr:row>
      <xdr:rowOff>155764</xdr:rowOff>
    </xdr:to>
    <xdr:graphicFrame macro="">
      <xdr:nvGraphicFramePr>
        <xdr:cNvPr id="8" name="Gráfico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55</xdr:col>
      <xdr:colOff>0</xdr:colOff>
      <xdr:row>20</xdr:row>
      <xdr:rowOff>0</xdr:rowOff>
    </xdr:from>
    <xdr:to>
      <xdr:col>66</xdr:col>
      <xdr:colOff>548391</xdr:colOff>
      <xdr:row>35</xdr:row>
      <xdr:rowOff>155764</xdr:rowOff>
    </xdr:to>
    <xdr:graphicFrame macro="">
      <xdr:nvGraphicFramePr>
        <xdr:cNvPr id="10" name="Gráfico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55</xdr:col>
      <xdr:colOff>0</xdr:colOff>
      <xdr:row>37</xdr:row>
      <xdr:rowOff>0</xdr:rowOff>
    </xdr:from>
    <xdr:to>
      <xdr:col>66</xdr:col>
      <xdr:colOff>548391</xdr:colOff>
      <xdr:row>52</xdr:row>
      <xdr:rowOff>155764</xdr:rowOff>
    </xdr:to>
    <xdr:graphicFrame macro="">
      <xdr:nvGraphicFramePr>
        <xdr:cNvPr id="11" name="Gráfico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112.xml><?xml version="1.0" encoding="utf-8"?>
<xdr:wsDr xmlns:xdr="http://schemas.openxmlformats.org/drawingml/2006/spreadsheetDrawing" xmlns:a="http://schemas.openxmlformats.org/drawingml/2006/main">
  <xdr:twoCellAnchor editAs="oneCell">
    <xdr:from>
      <xdr:col>4</xdr:col>
      <xdr:colOff>609600</xdr:colOff>
      <xdr:row>100</xdr:row>
      <xdr:rowOff>85725</xdr:rowOff>
    </xdr:from>
    <xdr:to>
      <xdr:col>4</xdr:col>
      <xdr:colOff>609600</xdr:colOff>
      <xdr:row>103</xdr:row>
      <xdr:rowOff>145066</xdr:rowOff>
    </xdr:to>
    <xdr:pic>
      <xdr:nvPicPr>
        <xdr:cNvPr id="3" name="Imagem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00375" y="11325225"/>
          <a:ext cx="0" cy="630841"/>
        </a:xfrm>
        <a:prstGeom prst="rect">
          <a:avLst/>
        </a:prstGeom>
      </xdr:spPr>
    </xdr:pic>
    <xdr:clientData/>
  </xdr:twoCellAnchor>
  <xdr:twoCellAnchor editAs="oneCell">
    <xdr:from>
      <xdr:col>3</xdr:col>
      <xdr:colOff>47625</xdr:colOff>
      <xdr:row>105</xdr:row>
      <xdr:rowOff>180976</xdr:rowOff>
    </xdr:from>
    <xdr:to>
      <xdr:col>3</xdr:col>
      <xdr:colOff>647700</xdr:colOff>
      <xdr:row>109</xdr:row>
      <xdr:rowOff>48968</xdr:rowOff>
    </xdr:to>
    <xdr:pic>
      <xdr:nvPicPr>
        <xdr:cNvPr id="4" name="Imagem 3" descr="http://www.infoescola.com/wp-content/uploads/2009/08/full-1-d9e96191be.jpg"/>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43075" y="12372976"/>
          <a:ext cx="685800" cy="6299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19050</xdr:rowOff>
    </xdr:from>
    <xdr:to>
      <xdr:col>1</xdr:col>
      <xdr:colOff>445297</xdr:colOff>
      <xdr:row>2</xdr:row>
      <xdr:rowOff>0</xdr:rowOff>
    </xdr:to>
    <xdr:sp macro="" textlink="">
      <xdr:nvSpPr>
        <xdr:cNvPr id="5" name="Bisel 4">
          <a:hlinkClick xmlns:r="http://schemas.openxmlformats.org/officeDocument/2006/relationships" r:id="rId3"/>
        </xdr:cNvPr>
        <xdr:cNvSpPr/>
      </xdr:nvSpPr>
      <xdr:spPr>
        <a:xfrm>
          <a:off x="0" y="19050"/>
          <a:ext cx="645322" cy="36195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PT" sz="1100"/>
            <a:t>Index</a:t>
          </a:r>
        </a:p>
      </xdr:txBody>
    </xdr:sp>
    <xdr:clientData/>
  </xdr:twoCellAnchor>
  <xdr:twoCellAnchor editAs="oneCell">
    <xdr:from>
      <xdr:col>1</xdr:col>
      <xdr:colOff>0</xdr:colOff>
      <xdr:row>110</xdr:row>
      <xdr:rowOff>0</xdr:rowOff>
    </xdr:from>
    <xdr:to>
      <xdr:col>6</xdr:col>
      <xdr:colOff>650331</xdr:colOff>
      <xdr:row>113</xdr:row>
      <xdr:rowOff>176420</xdr:rowOff>
    </xdr:to>
    <xdr:pic>
      <xdr:nvPicPr>
        <xdr:cNvPr id="6" name="Picture 58"/>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t="46773"/>
        <a:stretch/>
      </xdr:blipFill>
      <xdr:spPr bwMode="auto">
        <a:xfrm>
          <a:off x="201706" y="20574000"/>
          <a:ext cx="4964596" cy="747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59</xdr:col>
      <xdr:colOff>369794</xdr:colOff>
      <xdr:row>2</xdr:row>
      <xdr:rowOff>45942</xdr:rowOff>
    </xdr:from>
    <xdr:to>
      <xdr:col>71</xdr:col>
      <xdr:colOff>336179</xdr:colOff>
      <xdr:row>18</xdr:row>
      <xdr:rowOff>11206</xdr:rowOff>
    </xdr:to>
    <xdr:graphicFrame macro="">
      <xdr:nvGraphicFramePr>
        <xdr:cNvPr id="7" name="Gráfico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59</xdr:col>
      <xdr:colOff>369795</xdr:colOff>
      <xdr:row>19</xdr:row>
      <xdr:rowOff>0</xdr:rowOff>
    </xdr:from>
    <xdr:to>
      <xdr:col>71</xdr:col>
      <xdr:colOff>336180</xdr:colOff>
      <xdr:row>34</xdr:row>
      <xdr:rowOff>155764</xdr:rowOff>
    </xdr:to>
    <xdr:graphicFrame macro="">
      <xdr:nvGraphicFramePr>
        <xdr:cNvPr id="8" name="Gráfico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59</xdr:col>
      <xdr:colOff>358588</xdr:colOff>
      <xdr:row>35</xdr:row>
      <xdr:rowOff>89647</xdr:rowOff>
    </xdr:from>
    <xdr:to>
      <xdr:col>71</xdr:col>
      <xdr:colOff>324973</xdr:colOff>
      <xdr:row>51</xdr:row>
      <xdr:rowOff>54911</xdr:rowOff>
    </xdr:to>
    <xdr:graphicFrame macro="">
      <xdr:nvGraphicFramePr>
        <xdr:cNvPr id="9" name="Gráfico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59</xdr:col>
      <xdr:colOff>358589</xdr:colOff>
      <xdr:row>52</xdr:row>
      <xdr:rowOff>43705</xdr:rowOff>
    </xdr:from>
    <xdr:to>
      <xdr:col>71</xdr:col>
      <xdr:colOff>324974</xdr:colOff>
      <xdr:row>68</xdr:row>
      <xdr:rowOff>8969</xdr:rowOff>
    </xdr:to>
    <xdr:graphicFrame macro="">
      <xdr:nvGraphicFramePr>
        <xdr:cNvPr id="10" name="Gráfico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59</xdr:col>
      <xdr:colOff>358589</xdr:colOff>
      <xdr:row>68</xdr:row>
      <xdr:rowOff>156882</xdr:rowOff>
    </xdr:from>
    <xdr:to>
      <xdr:col>71</xdr:col>
      <xdr:colOff>324974</xdr:colOff>
      <xdr:row>84</xdr:row>
      <xdr:rowOff>122146</xdr:rowOff>
    </xdr:to>
    <xdr:graphicFrame macro="">
      <xdr:nvGraphicFramePr>
        <xdr:cNvPr id="11" name="Gráfico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59</xdr:col>
      <xdr:colOff>358590</xdr:colOff>
      <xdr:row>85</xdr:row>
      <xdr:rowOff>110940</xdr:rowOff>
    </xdr:from>
    <xdr:to>
      <xdr:col>71</xdr:col>
      <xdr:colOff>324975</xdr:colOff>
      <xdr:row>101</xdr:row>
      <xdr:rowOff>76204</xdr:rowOff>
    </xdr:to>
    <xdr:graphicFrame macro="">
      <xdr:nvGraphicFramePr>
        <xdr:cNvPr id="12" name="Gráfico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wsDr>
</file>

<file path=xl/drawings/drawing113.xml><?xml version="1.0" encoding="utf-8"?>
<xdr:wsDr xmlns:xdr="http://schemas.openxmlformats.org/drawingml/2006/spreadsheetDrawing" xmlns:a="http://schemas.openxmlformats.org/drawingml/2006/main">
  <xdr:twoCellAnchor editAs="oneCell">
    <xdr:from>
      <xdr:col>1</xdr:col>
      <xdr:colOff>0</xdr:colOff>
      <xdr:row>79</xdr:row>
      <xdr:rowOff>85725</xdr:rowOff>
    </xdr:from>
    <xdr:to>
      <xdr:col>1</xdr:col>
      <xdr:colOff>0</xdr:colOff>
      <xdr:row>82</xdr:row>
      <xdr:rowOff>145066</xdr:rowOff>
    </xdr:to>
    <xdr:pic>
      <xdr:nvPicPr>
        <xdr:cNvPr id="2" name="Imagem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00375" y="19135725"/>
          <a:ext cx="0" cy="630841"/>
        </a:xfrm>
        <a:prstGeom prst="rect">
          <a:avLst/>
        </a:prstGeom>
      </xdr:spPr>
    </xdr:pic>
    <xdr:clientData/>
  </xdr:twoCellAnchor>
  <xdr:twoCellAnchor>
    <xdr:from>
      <xdr:col>0</xdr:col>
      <xdr:colOff>11206</xdr:colOff>
      <xdr:row>0</xdr:row>
      <xdr:rowOff>22412</xdr:rowOff>
    </xdr:from>
    <xdr:to>
      <xdr:col>1</xdr:col>
      <xdr:colOff>456503</xdr:colOff>
      <xdr:row>2</xdr:row>
      <xdr:rowOff>3362</xdr:rowOff>
    </xdr:to>
    <xdr:sp macro="" textlink="">
      <xdr:nvSpPr>
        <xdr:cNvPr id="12" name="Bisel 11">
          <a:hlinkClick xmlns:r="http://schemas.openxmlformats.org/officeDocument/2006/relationships" r:id="rId2"/>
        </xdr:cNvPr>
        <xdr:cNvSpPr/>
      </xdr:nvSpPr>
      <xdr:spPr>
        <a:xfrm>
          <a:off x="11206" y="22412"/>
          <a:ext cx="647003" cy="36195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PT" sz="1100"/>
            <a:t>Index</a:t>
          </a:r>
        </a:p>
      </xdr:txBody>
    </xdr:sp>
    <xdr:clientData/>
  </xdr:twoCellAnchor>
  <xdr:twoCellAnchor editAs="oneCell">
    <xdr:from>
      <xdr:col>14</xdr:col>
      <xdr:colOff>453573</xdr:colOff>
      <xdr:row>39</xdr:row>
      <xdr:rowOff>148169</xdr:rowOff>
    </xdr:from>
    <xdr:to>
      <xdr:col>20</xdr:col>
      <xdr:colOff>605789</xdr:colOff>
      <xdr:row>47</xdr:row>
      <xdr:rowOff>148168</xdr:rowOff>
    </xdr:to>
    <xdr:pic>
      <xdr:nvPicPr>
        <xdr:cNvPr id="8" name="Imagem 7"/>
        <xdr:cNvPicPr>
          <a:picLocks noChangeAspect="1"/>
        </xdr:cNvPicPr>
      </xdr:nvPicPr>
      <xdr:blipFill rotWithShape="1">
        <a:blip xmlns:r="http://schemas.openxmlformats.org/officeDocument/2006/relationships" r:embed="rId3"/>
        <a:srcRect l="21651" t="58415" r="56175" b="27632"/>
        <a:stretch/>
      </xdr:blipFill>
      <xdr:spPr>
        <a:xfrm>
          <a:off x="11912148" y="7958669"/>
          <a:ext cx="3905066" cy="1523999"/>
        </a:xfrm>
        <a:prstGeom prst="rect">
          <a:avLst/>
        </a:prstGeom>
      </xdr:spPr>
    </xdr:pic>
    <xdr:clientData/>
  </xdr:twoCellAnchor>
  <xdr:twoCellAnchor editAs="oneCell">
    <xdr:from>
      <xdr:col>21</xdr:col>
      <xdr:colOff>95249</xdr:colOff>
      <xdr:row>7</xdr:row>
      <xdr:rowOff>57873</xdr:rowOff>
    </xdr:from>
    <xdr:to>
      <xdr:col>22</xdr:col>
      <xdr:colOff>518583</xdr:colOff>
      <xdr:row>9</xdr:row>
      <xdr:rowOff>162909</xdr:rowOff>
    </xdr:to>
    <xdr:pic>
      <xdr:nvPicPr>
        <xdr:cNvPr id="11" name="Imagem 10"/>
        <xdr:cNvPicPr>
          <a:picLocks noChangeAspect="1"/>
        </xdr:cNvPicPr>
      </xdr:nvPicPr>
      <xdr:blipFill rotWithShape="1">
        <a:blip xmlns:r="http://schemas.openxmlformats.org/officeDocument/2006/relationships" r:embed="rId4"/>
        <a:srcRect l="8472" t="43532" r="81278" b="47910"/>
        <a:stretch/>
      </xdr:blipFill>
      <xdr:spPr>
        <a:xfrm>
          <a:off x="16040099" y="1391373"/>
          <a:ext cx="1032934" cy="486036"/>
        </a:xfrm>
        <a:prstGeom prst="rect">
          <a:avLst/>
        </a:prstGeom>
      </xdr:spPr>
    </xdr:pic>
    <xdr:clientData/>
  </xdr:twoCellAnchor>
  <xdr:twoCellAnchor>
    <xdr:from>
      <xdr:col>25</xdr:col>
      <xdr:colOff>428624</xdr:colOff>
      <xdr:row>6</xdr:row>
      <xdr:rowOff>27384</xdr:rowOff>
    </xdr:from>
    <xdr:to>
      <xdr:col>36</xdr:col>
      <xdr:colOff>142874</xdr:colOff>
      <xdr:row>22</xdr:row>
      <xdr:rowOff>133350</xdr:rowOff>
    </xdr:to>
    <xdr:graphicFrame macro="">
      <xdr:nvGraphicFramePr>
        <xdr:cNvPr id="13" name="Gráfico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53</xdr:col>
      <xdr:colOff>95249</xdr:colOff>
      <xdr:row>7</xdr:row>
      <xdr:rowOff>57873</xdr:rowOff>
    </xdr:from>
    <xdr:to>
      <xdr:col>54</xdr:col>
      <xdr:colOff>518583</xdr:colOff>
      <xdr:row>9</xdr:row>
      <xdr:rowOff>162909</xdr:rowOff>
    </xdr:to>
    <xdr:pic>
      <xdr:nvPicPr>
        <xdr:cNvPr id="10" name="Imagem 9"/>
        <xdr:cNvPicPr>
          <a:picLocks noChangeAspect="1"/>
        </xdr:cNvPicPr>
      </xdr:nvPicPr>
      <xdr:blipFill rotWithShape="1">
        <a:blip xmlns:r="http://schemas.openxmlformats.org/officeDocument/2006/relationships" r:embed="rId4"/>
        <a:srcRect l="8472" t="43532" r="81278" b="47910"/>
        <a:stretch/>
      </xdr:blipFill>
      <xdr:spPr>
        <a:xfrm>
          <a:off x="15689035" y="1391373"/>
          <a:ext cx="1035655" cy="486036"/>
        </a:xfrm>
        <a:prstGeom prst="rect">
          <a:avLst/>
        </a:prstGeom>
      </xdr:spPr>
    </xdr:pic>
    <xdr:clientData/>
  </xdr:twoCellAnchor>
  <xdr:twoCellAnchor>
    <xdr:from>
      <xdr:col>57</xdr:col>
      <xdr:colOff>428624</xdr:colOff>
      <xdr:row>6</xdr:row>
      <xdr:rowOff>27384</xdr:rowOff>
    </xdr:from>
    <xdr:to>
      <xdr:col>68</xdr:col>
      <xdr:colOff>142874</xdr:colOff>
      <xdr:row>22</xdr:row>
      <xdr:rowOff>133350</xdr:rowOff>
    </xdr:to>
    <xdr:graphicFrame macro="">
      <xdr:nvGraphicFramePr>
        <xdr:cNvPr id="14" name="Gráfico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46</xdr:col>
      <xdr:colOff>453573</xdr:colOff>
      <xdr:row>31</xdr:row>
      <xdr:rowOff>148169</xdr:rowOff>
    </xdr:from>
    <xdr:to>
      <xdr:col>53</xdr:col>
      <xdr:colOff>670</xdr:colOff>
      <xdr:row>39</xdr:row>
      <xdr:rowOff>148168</xdr:rowOff>
    </xdr:to>
    <xdr:pic>
      <xdr:nvPicPr>
        <xdr:cNvPr id="15" name="Imagem 14"/>
        <xdr:cNvPicPr>
          <a:picLocks noChangeAspect="1"/>
        </xdr:cNvPicPr>
      </xdr:nvPicPr>
      <xdr:blipFill rotWithShape="1">
        <a:blip xmlns:r="http://schemas.openxmlformats.org/officeDocument/2006/relationships" r:embed="rId3"/>
        <a:srcRect l="21651" t="58415" r="56175" b="27632"/>
        <a:stretch/>
      </xdr:blipFill>
      <xdr:spPr>
        <a:xfrm>
          <a:off x="11502573" y="7577669"/>
          <a:ext cx="3789034" cy="1523999"/>
        </a:xfrm>
        <a:prstGeom prst="rect">
          <a:avLst/>
        </a:prstGeom>
      </xdr:spPr>
    </xdr:pic>
    <xdr:clientData/>
  </xdr:twoCellAnchor>
  <xdr:twoCellAnchor editAs="oneCell">
    <xdr:from>
      <xdr:col>74</xdr:col>
      <xdr:colOff>453573</xdr:colOff>
      <xdr:row>24</xdr:row>
      <xdr:rowOff>148169</xdr:rowOff>
    </xdr:from>
    <xdr:to>
      <xdr:col>81</xdr:col>
      <xdr:colOff>671</xdr:colOff>
      <xdr:row>32</xdr:row>
      <xdr:rowOff>148168</xdr:rowOff>
    </xdr:to>
    <xdr:pic>
      <xdr:nvPicPr>
        <xdr:cNvPr id="16" name="Imagem 15"/>
        <xdr:cNvPicPr>
          <a:picLocks noChangeAspect="1"/>
        </xdr:cNvPicPr>
      </xdr:nvPicPr>
      <xdr:blipFill rotWithShape="1">
        <a:blip xmlns:r="http://schemas.openxmlformats.org/officeDocument/2006/relationships" r:embed="rId3"/>
        <a:srcRect l="21651" t="58415" r="56175" b="27632"/>
        <a:stretch/>
      </xdr:blipFill>
      <xdr:spPr>
        <a:xfrm>
          <a:off x="31600323" y="6053669"/>
          <a:ext cx="3795528" cy="1523999"/>
        </a:xfrm>
        <a:prstGeom prst="rect">
          <a:avLst/>
        </a:prstGeom>
      </xdr:spPr>
    </xdr:pic>
    <xdr:clientData/>
  </xdr:twoCellAnchor>
  <xdr:twoCellAnchor editAs="oneCell">
    <xdr:from>
      <xdr:col>81</xdr:col>
      <xdr:colOff>95249</xdr:colOff>
      <xdr:row>5</xdr:row>
      <xdr:rowOff>57873</xdr:rowOff>
    </xdr:from>
    <xdr:to>
      <xdr:col>82</xdr:col>
      <xdr:colOff>518583</xdr:colOff>
      <xdr:row>7</xdr:row>
      <xdr:rowOff>162909</xdr:rowOff>
    </xdr:to>
    <xdr:pic>
      <xdr:nvPicPr>
        <xdr:cNvPr id="17" name="Imagem 16"/>
        <xdr:cNvPicPr>
          <a:picLocks noChangeAspect="1"/>
        </xdr:cNvPicPr>
      </xdr:nvPicPr>
      <xdr:blipFill rotWithShape="1">
        <a:blip xmlns:r="http://schemas.openxmlformats.org/officeDocument/2006/relationships" r:embed="rId4"/>
        <a:srcRect l="8472" t="43532" r="81278" b="47910"/>
        <a:stretch/>
      </xdr:blipFill>
      <xdr:spPr>
        <a:xfrm>
          <a:off x="35492530" y="1391373"/>
          <a:ext cx="1030553" cy="486036"/>
        </a:xfrm>
        <a:prstGeom prst="rect">
          <a:avLst/>
        </a:prstGeom>
      </xdr:spPr>
    </xdr:pic>
    <xdr:clientData/>
  </xdr:twoCellAnchor>
  <xdr:twoCellAnchor>
    <xdr:from>
      <xdr:col>85</xdr:col>
      <xdr:colOff>428624</xdr:colOff>
      <xdr:row>6</xdr:row>
      <xdr:rowOff>27384</xdr:rowOff>
    </xdr:from>
    <xdr:to>
      <xdr:col>96</xdr:col>
      <xdr:colOff>142874</xdr:colOff>
      <xdr:row>22</xdr:row>
      <xdr:rowOff>133350</xdr:rowOff>
    </xdr:to>
    <xdr:graphicFrame macro="">
      <xdr:nvGraphicFramePr>
        <xdr:cNvPr id="18" name="Gráfico 1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113</xdr:col>
      <xdr:colOff>95249</xdr:colOff>
      <xdr:row>5</xdr:row>
      <xdr:rowOff>57873</xdr:rowOff>
    </xdr:from>
    <xdr:to>
      <xdr:col>114</xdr:col>
      <xdr:colOff>518582</xdr:colOff>
      <xdr:row>7</xdr:row>
      <xdr:rowOff>162909</xdr:rowOff>
    </xdr:to>
    <xdr:pic>
      <xdr:nvPicPr>
        <xdr:cNvPr id="19" name="Imagem 18"/>
        <xdr:cNvPicPr>
          <a:picLocks noChangeAspect="1"/>
        </xdr:cNvPicPr>
      </xdr:nvPicPr>
      <xdr:blipFill rotWithShape="1">
        <a:blip xmlns:r="http://schemas.openxmlformats.org/officeDocument/2006/relationships" r:embed="rId4"/>
        <a:srcRect l="8472" t="43532" r="81278" b="47910"/>
        <a:stretch/>
      </xdr:blipFill>
      <xdr:spPr>
        <a:xfrm>
          <a:off x="52594808" y="1010373"/>
          <a:ext cx="1028451" cy="486036"/>
        </a:xfrm>
        <a:prstGeom prst="rect">
          <a:avLst/>
        </a:prstGeom>
      </xdr:spPr>
    </xdr:pic>
    <xdr:clientData/>
  </xdr:twoCellAnchor>
  <xdr:twoCellAnchor>
    <xdr:from>
      <xdr:col>117</xdr:col>
      <xdr:colOff>428624</xdr:colOff>
      <xdr:row>6</xdr:row>
      <xdr:rowOff>27384</xdr:rowOff>
    </xdr:from>
    <xdr:to>
      <xdr:col>128</xdr:col>
      <xdr:colOff>142874</xdr:colOff>
      <xdr:row>22</xdr:row>
      <xdr:rowOff>133350</xdr:rowOff>
    </xdr:to>
    <xdr:graphicFrame macro="">
      <xdr:nvGraphicFramePr>
        <xdr:cNvPr id="20" name="Gráfico 1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106</xdr:col>
      <xdr:colOff>453573</xdr:colOff>
      <xdr:row>19</xdr:row>
      <xdr:rowOff>148169</xdr:rowOff>
    </xdr:from>
    <xdr:to>
      <xdr:col>113</xdr:col>
      <xdr:colOff>672</xdr:colOff>
      <xdr:row>27</xdr:row>
      <xdr:rowOff>148168</xdr:rowOff>
    </xdr:to>
    <xdr:pic>
      <xdr:nvPicPr>
        <xdr:cNvPr id="21" name="Imagem 20"/>
        <xdr:cNvPicPr>
          <a:picLocks noChangeAspect="1"/>
        </xdr:cNvPicPr>
      </xdr:nvPicPr>
      <xdr:blipFill rotWithShape="1">
        <a:blip xmlns:r="http://schemas.openxmlformats.org/officeDocument/2006/relationships" r:embed="rId3"/>
        <a:srcRect l="21651" t="58415" r="56175" b="27632"/>
        <a:stretch/>
      </xdr:blipFill>
      <xdr:spPr>
        <a:xfrm>
          <a:off x="48717308" y="4720169"/>
          <a:ext cx="3782922" cy="1523999"/>
        </a:xfrm>
        <a:prstGeom prst="rect">
          <a:avLst/>
        </a:prstGeom>
      </xdr:spPr>
    </xdr:pic>
    <xdr:clientData/>
  </xdr:twoCellAnchor>
</xdr:wsDr>
</file>

<file path=xl/drawings/drawing114.xml><?xml version="1.0" encoding="utf-8"?>
<c:userShapes xmlns:c="http://schemas.openxmlformats.org/drawingml/2006/chart">
  <cdr:relSizeAnchor xmlns:cdr="http://schemas.openxmlformats.org/drawingml/2006/chartDrawing">
    <cdr:from>
      <cdr:x>0.35163</cdr:x>
      <cdr:y>0.08192</cdr:y>
    </cdr:from>
    <cdr:to>
      <cdr:x>0.72107</cdr:x>
      <cdr:y>0.19064</cdr:y>
    </cdr:to>
    <cdr:sp macro="" textlink="">
      <cdr:nvSpPr>
        <cdr:cNvPr id="2" name="CaixaDeTexto 1"/>
        <cdr:cNvSpPr txBox="1"/>
      </cdr:nvSpPr>
      <cdr:spPr>
        <a:xfrm xmlns:a="http://schemas.openxmlformats.org/drawingml/2006/main">
          <a:off x="2257425" y="258366"/>
          <a:ext cx="2371725" cy="3429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pt-PT" sz="1100"/>
            <a:t>Forno 3 - Câmara de Fumos</a:t>
          </a:r>
        </a:p>
      </cdr:txBody>
    </cdr:sp>
  </cdr:relSizeAnchor>
</c:userShapes>
</file>

<file path=xl/drawings/drawing115.xml><?xml version="1.0" encoding="utf-8"?>
<c:userShapes xmlns:c="http://schemas.openxmlformats.org/drawingml/2006/chart">
  <cdr:relSizeAnchor xmlns:cdr="http://schemas.openxmlformats.org/drawingml/2006/chartDrawing">
    <cdr:from>
      <cdr:x>0.35163</cdr:x>
      <cdr:y>0.08192</cdr:y>
    </cdr:from>
    <cdr:to>
      <cdr:x>0.72107</cdr:x>
      <cdr:y>0.19064</cdr:y>
    </cdr:to>
    <cdr:sp macro="" textlink="">
      <cdr:nvSpPr>
        <cdr:cNvPr id="2" name="CaixaDeTexto 1"/>
        <cdr:cNvSpPr txBox="1"/>
      </cdr:nvSpPr>
      <cdr:spPr>
        <a:xfrm xmlns:a="http://schemas.openxmlformats.org/drawingml/2006/main">
          <a:off x="2257425" y="258366"/>
          <a:ext cx="2371725" cy="3429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pt-PT" sz="1100"/>
            <a:t>Forno 3 - Chaminé</a:t>
          </a:r>
        </a:p>
      </cdr:txBody>
    </cdr:sp>
  </cdr:relSizeAnchor>
</c:userShapes>
</file>

<file path=xl/drawings/drawing116.xml><?xml version="1.0" encoding="utf-8"?>
<c:userShapes xmlns:c="http://schemas.openxmlformats.org/drawingml/2006/chart">
  <cdr:relSizeAnchor xmlns:cdr="http://schemas.openxmlformats.org/drawingml/2006/chartDrawing">
    <cdr:from>
      <cdr:x>0.35163</cdr:x>
      <cdr:y>0.08192</cdr:y>
    </cdr:from>
    <cdr:to>
      <cdr:x>0.72107</cdr:x>
      <cdr:y>0.19064</cdr:y>
    </cdr:to>
    <cdr:sp macro="" textlink="">
      <cdr:nvSpPr>
        <cdr:cNvPr id="2" name="CaixaDeTexto 1"/>
        <cdr:cNvSpPr txBox="1"/>
      </cdr:nvSpPr>
      <cdr:spPr>
        <a:xfrm xmlns:a="http://schemas.openxmlformats.org/drawingml/2006/main">
          <a:off x="2257425" y="258366"/>
          <a:ext cx="2371725" cy="3429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pt-PT" sz="1100"/>
            <a:t>Forno 3 - Torre de Ciclones</a:t>
          </a:r>
        </a:p>
      </cdr:txBody>
    </cdr:sp>
  </cdr:relSizeAnchor>
</c:userShapes>
</file>

<file path=xl/drawings/drawing117.xml><?xml version="1.0" encoding="utf-8"?>
<c:userShapes xmlns:c="http://schemas.openxmlformats.org/drawingml/2006/chart">
  <cdr:relSizeAnchor xmlns:cdr="http://schemas.openxmlformats.org/drawingml/2006/chartDrawing">
    <cdr:from>
      <cdr:x>0.35163</cdr:x>
      <cdr:y>0.08192</cdr:y>
    </cdr:from>
    <cdr:to>
      <cdr:x>0.72107</cdr:x>
      <cdr:y>0.19064</cdr:y>
    </cdr:to>
    <cdr:sp macro="" textlink="">
      <cdr:nvSpPr>
        <cdr:cNvPr id="2" name="CaixaDeTexto 1"/>
        <cdr:cNvSpPr txBox="1"/>
      </cdr:nvSpPr>
      <cdr:spPr>
        <a:xfrm xmlns:a="http://schemas.openxmlformats.org/drawingml/2006/main">
          <a:off x="2257425" y="258366"/>
          <a:ext cx="2371725" cy="3429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pt-PT" sz="1100"/>
            <a:t>Forno 3 - Arrefecedor</a:t>
          </a:r>
        </a:p>
      </cdr:txBody>
    </cdr:sp>
  </cdr:relSizeAnchor>
</c:userShapes>
</file>

<file path=xl/drawings/drawing118.xml><?xml version="1.0" encoding="utf-8"?>
<xdr:wsDr xmlns:xdr="http://schemas.openxmlformats.org/drawingml/2006/spreadsheetDrawing" xmlns:a="http://schemas.openxmlformats.org/drawingml/2006/main">
  <xdr:twoCellAnchor editAs="oneCell">
    <xdr:from>
      <xdr:col>1</xdr:col>
      <xdr:colOff>0</xdr:colOff>
      <xdr:row>79</xdr:row>
      <xdr:rowOff>85725</xdr:rowOff>
    </xdr:from>
    <xdr:to>
      <xdr:col>1</xdr:col>
      <xdr:colOff>0</xdr:colOff>
      <xdr:row>82</xdr:row>
      <xdr:rowOff>145066</xdr:rowOff>
    </xdr:to>
    <xdr:pic>
      <xdr:nvPicPr>
        <xdr:cNvPr id="2" name="Imagem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0025" y="15135225"/>
          <a:ext cx="0" cy="630841"/>
        </a:xfrm>
        <a:prstGeom prst="rect">
          <a:avLst/>
        </a:prstGeom>
      </xdr:spPr>
    </xdr:pic>
    <xdr:clientData/>
  </xdr:twoCellAnchor>
  <xdr:twoCellAnchor>
    <xdr:from>
      <xdr:col>0</xdr:col>
      <xdr:colOff>11206</xdr:colOff>
      <xdr:row>0</xdr:row>
      <xdr:rowOff>22412</xdr:rowOff>
    </xdr:from>
    <xdr:to>
      <xdr:col>1</xdr:col>
      <xdr:colOff>456503</xdr:colOff>
      <xdr:row>2</xdr:row>
      <xdr:rowOff>3362</xdr:rowOff>
    </xdr:to>
    <xdr:sp macro="" textlink="">
      <xdr:nvSpPr>
        <xdr:cNvPr id="3" name="Bisel 2">
          <a:hlinkClick xmlns:r="http://schemas.openxmlformats.org/officeDocument/2006/relationships" r:id="rId2"/>
        </xdr:cNvPr>
        <xdr:cNvSpPr/>
      </xdr:nvSpPr>
      <xdr:spPr>
        <a:xfrm>
          <a:off x="11206" y="22412"/>
          <a:ext cx="645322" cy="36195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PT" sz="1100"/>
            <a:t>Index</a:t>
          </a:r>
        </a:p>
      </xdr:txBody>
    </xdr:sp>
    <xdr:clientData/>
  </xdr:twoCellAnchor>
  <xdr:twoCellAnchor>
    <xdr:from>
      <xdr:col>28</xdr:col>
      <xdr:colOff>595313</xdr:colOff>
      <xdr:row>21</xdr:row>
      <xdr:rowOff>15407</xdr:rowOff>
    </xdr:from>
    <xdr:to>
      <xdr:col>40</xdr:col>
      <xdr:colOff>561698</xdr:colOff>
      <xdr:row>36</xdr:row>
      <xdr:rowOff>171171</xdr:rowOff>
    </xdr:to>
    <xdr:graphicFrame macro="">
      <xdr:nvGraphicFramePr>
        <xdr:cNvPr id="4" name="Gráfico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29</xdr:col>
      <xdr:colOff>2103</xdr:colOff>
      <xdr:row>4</xdr:row>
      <xdr:rowOff>134470</xdr:rowOff>
    </xdr:from>
    <xdr:to>
      <xdr:col>40</xdr:col>
      <xdr:colOff>573605</xdr:colOff>
      <xdr:row>20</xdr:row>
      <xdr:rowOff>99734</xdr:rowOff>
    </xdr:to>
    <xdr:graphicFrame macro="">
      <xdr:nvGraphicFramePr>
        <xdr:cNvPr id="5" name="Gráfico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28</xdr:col>
      <xdr:colOff>571500</xdr:colOff>
      <xdr:row>37</xdr:row>
      <xdr:rowOff>86844</xdr:rowOff>
    </xdr:from>
    <xdr:to>
      <xdr:col>40</xdr:col>
      <xdr:colOff>537885</xdr:colOff>
      <xdr:row>53</xdr:row>
      <xdr:rowOff>52108</xdr:rowOff>
    </xdr:to>
    <xdr:graphicFrame macro="">
      <xdr:nvGraphicFramePr>
        <xdr:cNvPr id="6" name="Gráfico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29</xdr:col>
      <xdr:colOff>0</xdr:colOff>
      <xdr:row>54</xdr:row>
      <xdr:rowOff>0</xdr:rowOff>
    </xdr:from>
    <xdr:to>
      <xdr:col>40</xdr:col>
      <xdr:colOff>571502</xdr:colOff>
      <xdr:row>69</xdr:row>
      <xdr:rowOff>155764</xdr:rowOff>
    </xdr:to>
    <xdr:graphicFrame macro="">
      <xdr:nvGraphicFramePr>
        <xdr:cNvPr id="7" name="Gráfico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119.xml><?xml version="1.0" encoding="utf-8"?>
<xdr:wsDr xmlns:xdr="http://schemas.openxmlformats.org/drawingml/2006/spreadsheetDrawing" xmlns:a="http://schemas.openxmlformats.org/drawingml/2006/main">
  <xdr:twoCellAnchor editAs="oneCell">
    <xdr:from>
      <xdr:col>4</xdr:col>
      <xdr:colOff>609600</xdr:colOff>
      <xdr:row>31</xdr:row>
      <xdr:rowOff>85725</xdr:rowOff>
    </xdr:from>
    <xdr:to>
      <xdr:col>4</xdr:col>
      <xdr:colOff>614083</xdr:colOff>
      <xdr:row>34</xdr:row>
      <xdr:rowOff>145066</xdr:rowOff>
    </xdr:to>
    <xdr:pic>
      <xdr:nvPicPr>
        <xdr:cNvPr id="3" name="Imagem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00375" y="18183225"/>
          <a:ext cx="0" cy="630841"/>
        </a:xfrm>
        <a:prstGeom prst="rect">
          <a:avLst/>
        </a:prstGeom>
      </xdr:spPr>
    </xdr:pic>
    <xdr:clientData/>
  </xdr:twoCellAnchor>
  <xdr:twoCellAnchor editAs="oneCell">
    <xdr:from>
      <xdr:col>3</xdr:col>
      <xdr:colOff>47625</xdr:colOff>
      <xdr:row>36</xdr:row>
      <xdr:rowOff>180976</xdr:rowOff>
    </xdr:from>
    <xdr:to>
      <xdr:col>3</xdr:col>
      <xdr:colOff>605118</xdr:colOff>
      <xdr:row>40</xdr:row>
      <xdr:rowOff>48968</xdr:rowOff>
    </xdr:to>
    <xdr:pic>
      <xdr:nvPicPr>
        <xdr:cNvPr id="4" name="Imagem 3" descr="http://www.infoescola.com/wp-content/uploads/2009/08/full-1-d9e96191be.jpg"/>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43075" y="19230976"/>
          <a:ext cx="600075" cy="6299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19050</xdr:rowOff>
    </xdr:from>
    <xdr:to>
      <xdr:col>1</xdr:col>
      <xdr:colOff>445297</xdr:colOff>
      <xdr:row>2</xdr:row>
      <xdr:rowOff>0</xdr:rowOff>
    </xdr:to>
    <xdr:sp macro="" textlink="">
      <xdr:nvSpPr>
        <xdr:cNvPr id="5" name="Bisel 4">
          <a:hlinkClick xmlns:r="http://schemas.openxmlformats.org/officeDocument/2006/relationships" r:id="rId3"/>
        </xdr:cNvPr>
        <xdr:cNvSpPr/>
      </xdr:nvSpPr>
      <xdr:spPr>
        <a:xfrm>
          <a:off x="0" y="19050"/>
          <a:ext cx="645322" cy="36195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PT" sz="1100"/>
            <a:t>Index</a:t>
          </a:r>
        </a:p>
      </xdr:txBody>
    </xdr:sp>
    <xdr:clientData/>
  </xdr:twoCellAnchor>
  <xdr:twoCellAnchor editAs="oneCell">
    <xdr:from>
      <xdr:col>1</xdr:col>
      <xdr:colOff>0</xdr:colOff>
      <xdr:row>41</xdr:row>
      <xdr:rowOff>0</xdr:rowOff>
    </xdr:from>
    <xdr:to>
      <xdr:col>6</xdr:col>
      <xdr:colOff>650331</xdr:colOff>
      <xdr:row>44</xdr:row>
      <xdr:rowOff>176420</xdr:rowOff>
    </xdr:to>
    <xdr:pic>
      <xdr:nvPicPr>
        <xdr:cNvPr id="6" name="Picture 58"/>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t="46773"/>
        <a:stretch/>
      </xdr:blipFill>
      <xdr:spPr bwMode="auto">
        <a:xfrm>
          <a:off x="201706" y="7239000"/>
          <a:ext cx="4964596" cy="747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42</xdr:col>
      <xdr:colOff>369794</xdr:colOff>
      <xdr:row>2</xdr:row>
      <xdr:rowOff>45942</xdr:rowOff>
    </xdr:from>
    <xdr:to>
      <xdr:col>54</xdr:col>
      <xdr:colOff>336179</xdr:colOff>
      <xdr:row>18</xdr:row>
      <xdr:rowOff>11206</xdr:rowOff>
    </xdr:to>
    <xdr:graphicFrame macro="">
      <xdr:nvGraphicFramePr>
        <xdr:cNvPr id="7" name="Gráfico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42</xdr:col>
      <xdr:colOff>369795</xdr:colOff>
      <xdr:row>19</xdr:row>
      <xdr:rowOff>0</xdr:rowOff>
    </xdr:from>
    <xdr:to>
      <xdr:col>54</xdr:col>
      <xdr:colOff>336180</xdr:colOff>
      <xdr:row>34</xdr:row>
      <xdr:rowOff>155764</xdr:rowOff>
    </xdr:to>
    <xdr:graphicFrame macro="">
      <xdr:nvGraphicFramePr>
        <xdr:cNvPr id="8" name="Gráfico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12.xml><?xml version="1.0" encoding="utf-8"?>
<c:userShapes xmlns:c="http://schemas.openxmlformats.org/drawingml/2006/chart">
  <cdr:relSizeAnchor xmlns:cdr="http://schemas.openxmlformats.org/drawingml/2006/chartDrawing">
    <cdr:from>
      <cdr:x>0.64631</cdr:x>
      <cdr:y>0.30698</cdr:y>
    </cdr:from>
    <cdr:to>
      <cdr:x>0.85053</cdr:x>
      <cdr:y>0.46205</cdr:y>
    </cdr:to>
    <cdr:sp macro="" textlink="">
      <cdr:nvSpPr>
        <cdr:cNvPr id="2" name="CaixaDeTexto 1"/>
        <cdr:cNvSpPr txBox="1"/>
      </cdr:nvSpPr>
      <cdr:spPr>
        <a:xfrm xmlns:a="http://schemas.openxmlformats.org/drawingml/2006/main">
          <a:off x="3440178" y="510241"/>
          <a:ext cx="1086970" cy="25773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pt-PT" sz="1000">
              <a:solidFill>
                <a:schemeClr val="bg1"/>
              </a:solidFill>
            </a:rPr>
            <a:t>Tempo</a:t>
          </a:r>
          <a:r>
            <a:rPr lang="pt-PT" sz="1000" baseline="0">
              <a:solidFill>
                <a:schemeClr val="bg1"/>
              </a:solidFill>
            </a:rPr>
            <a:t> inactivo</a:t>
          </a:r>
        </a:p>
      </cdr:txBody>
    </cdr:sp>
  </cdr:relSizeAnchor>
  <cdr:relSizeAnchor xmlns:cdr="http://schemas.openxmlformats.org/drawingml/2006/chartDrawing">
    <cdr:from>
      <cdr:x>0.83381</cdr:x>
      <cdr:y>0.54969</cdr:y>
    </cdr:from>
    <cdr:to>
      <cdr:x>1</cdr:x>
      <cdr:y>0.73749</cdr:y>
    </cdr:to>
    <cdr:sp macro="" textlink="">
      <cdr:nvSpPr>
        <cdr:cNvPr id="3" name="CaixaDeTexto 1"/>
        <cdr:cNvSpPr txBox="1"/>
      </cdr:nvSpPr>
      <cdr:spPr>
        <a:xfrm xmlns:a="http://schemas.openxmlformats.org/drawingml/2006/main">
          <a:off x="4438151" y="913652"/>
          <a:ext cx="884613" cy="31214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r>
            <a:rPr lang="pt-PT" sz="900" baseline="0">
              <a:solidFill>
                <a:schemeClr val="bg1"/>
              </a:solidFill>
            </a:rPr>
            <a:t>Tempo activo</a:t>
          </a:r>
          <a:endParaRPr lang="pt-PT" sz="900">
            <a:solidFill>
              <a:schemeClr val="bg1"/>
            </a:solidFill>
          </a:endParaRPr>
        </a:p>
      </cdr:txBody>
    </cdr:sp>
  </cdr:relSizeAnchor>
</c:userShapes>
</file>

<file path=xl/drawings/drawing120.xml><?xml version="1.0" encoding="utf-8"?>
<xdr:wsDr xmlns:xdr="http://schemas.openxmlformats.org/drawingml/2006/spreadsheetDrawing" xmlns:a="http://schemas.openxmlformats.org/drawingml/2006/main">
  <xdr:twoCellAnchor>
    <xdr:from>
      <xdr:col>0</xdr:col>
      <xdr:colOff>0</xdr:colOff>
      <xdr:row>0</xdr:row>
      <xdr:rowOff>19050</xdr:rowOff>
    </xdr:from>
    <xdr:to>
      <xdr:col>1</xdr:col>
      <xdr:colOff>445297</xdr:colOff>
      <xdr:row>2</xdr:row>
      <xdr:rowOff>0</xdr:rowOff>
    </xdr:to>
    <xdr:sp macro="" textlink="">
      <xdr:nvSpPr>
        <xdr:cNvPr id="4" name="Bisel 3">
          <a:hlinkClick xmlns:r="http://schemas.openxmlformats.org/officeDocument/2006/relationships" r:id="rId1"/>
        </xdr:cNvPr>
        <xdr:cNvSpPr/>
      </xdr:nvSpPr>
      <xdr:spPr>
        <a:xfrm>
          <a:off x="0" y="19050"/>
          <a:ext cx="645322" cy="36195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PT" sz="1100"/>
            <a:t>Index</a:t>
          </a:r>
        </a:p>
      </xdr:txBody>
    </xdr:sp>
    <xdr:clientData/>
  </xdr:twoCellAnchor>
  <xdr:twoCellAnchor editAs="oneCell">
    <xdr:from>
      <xdr:col>14</xdr:col>
      <xdr:colOff>453573</xdr:colOff>
      <xdr:row>18</xdr:row>
      <xdr:rowOff>148169</xdr:rowOff>
    </xdr:from>
    <xdr:to>
      <xdr:col>21</xdr:col>
      <xdr:colOff>670</xdr:colOff>
      <xdr:row>26</xdr:row>
      <xdr:rowOff>148168</xdr:rowOff>
    </xdr:to>
    <xdr:pic>
      <xdr:nvPicPr>
        <xdr:cNvPr id="3" name="Imagem 2"/>
        <xdr:cNvPicPr>
          <a:picLocks noChangeAspect="1"/>
        </xdr:cNvPicPr>
      </xdr:nvPicPr>
      <xdr:blipFill rotWithShape="1">
        <a:blip xmlns:r="http://schemas.openxmlformats.org/officeDocument/2006/relationships" r:embed="rId2"/>
        <a:srcRect l="21651" t="58415" r="56175" b="27632"/>
        <a:stretch/>
      </xdr:blipFill>
      <xdr:spPr>
        <a:xfrm>
          <a:off x="31676523" y="6053669"/>
          <a:ext cx="3814297" cy="1523999"/>
        </a:xfrm>
        <a:prstGeom prst="rect">
          <a:avLst/>
        </a:prstGeom>
      </xdr:spPr>
    </xdr:pic>
    <xdr:clientData/>
  </xdr:twoCellAnchor>
  <xdr:twoCellAnchor editAs="oneCell">
    <xdr:from>
      <xdr:col>21</xdr:col>
      <xdr:colOff>95249</xdr:colOff>
      <xdr:row>7</xdr:row>
      <xdr:rowOff>57873</xdr:rowOff>
    </xdr:from>
    <xdr:to>
      <xdr:col>22</xdr:col>
      <xdr:colOff>518583</xdr:colOff>
      <xdr:row>9</xdr:row>
      <xdr:rowOff>162909</xdr:rowOff>
    </xdr:to>
    <xdr:pic>
      <xdr:nvPicPr>
        <xdr:cNvPr id="5" name="Imagem 4"/>
        <xdr:cNvPicPr>
          <a:picLocks noChangeAspect="1"/>
        </xdr:cNvPicPr>
      </xdr:nvPicPr>
      <xdr:blipFill rotWithShape="1">
        <a:blip xmlns:r="http://schemas.openxmlformats.org/officeDocument/2006/relationships" r:embed="rId3"/>
        <a:srcRect l="8472" t="43532" r="81278" b="47910"/>
        <a:stretch/>
      </xdr:blipFill>
      <xdr:spPr>
        <a:xfrm>
          <a:off x="35585399" y="1391373"/>
          <a:ext cx="1032934" cy="486036"/>
        </a:xfrm>
        <a:prstGeom prst="rect">
          <a:avLst/>
        </a:prstGeom>
      </xdr:spPr>
    </xdr:pic>
    <xdr:clientData/>
  </xdr:twoCellAnchor>
  <xdr:twoCellAnchor>
    <xdr:from>
      <xdr:col>25</xdr:col>
      <xdr:colOff>428624</xdr:colOff>
      <xdr:row>6</xdr:row>
      <xdr:rowOff>27384</xdr:rowOff>
    </xdr:from>
    <xdr:to>
      <xdr:col>36</xdr:col>
      <xdr:colOff>142874</xdr:colOff>
      <xdr:row>22</xdr:row>
      <xdr:rowOff>133350</xdr:rowOff>
    </xdr:to>
    <xdr:graphicFrame macro="">
      <xdr:nvGraphicFramePr>
        <xdr:cNvPr id="6" name="Gráfico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49</xdr:col>
      <xdr:colOff>95249</xdr:colOff>
      <xdr:row>7</xdr:row>
      <xdr:rowOff>57873</xdr:rowOff>
    </xdr:from>
    <xdr:to>
      <xdr:col>50</xdr:col>
      <xdr:colOff>518582</xdr:colOff>
      <xdr:row>9</xdr:row>
      <xdr:rowOff>162909</xdr:rowOff>
    </xdr:to>
    <xdr:pic>
      <xdr:nvPicPr>
        <xdr:cNvPr id="7" name="Imagem 6"/>
        <xdr:cNvPicPr>
          <a:picLocks noChangeAspect="1"/>
        </xdr:cNvPicPr>
      </xdr:nvPicPr>
      <xdr:blipFill rotWithShape="1">
        <a:blip xmlns:r="http://schemas.openxmlformats.org/officeDocument/2006/relationships" r:embed="rId3"/>
        <a:srcRect l="8472" t="43532" r="81278" b="47910"/>
        <a:stretch/>
      </xdr:blipFill>
      <xdr:spPr>
        <a:xfrm>
          <a:off x="15368867" y="1391373"/>
          <a:ext cx="1028451" cy="486036"/>
        </a:xfrm>
        <a:prstGeom prst="rect">
          <a:avLst/>
        </a:prstGeom>
      </xdr:spPr>
    </xdr:pic>
    <xdr:clientData/>
  </xdr:twoCellAnchor>
  <xdr:twoCellAnchor>
    <xdr:from>
      <xdr:col>53</xdr:col>
      <xdr:colOff>428624</xdr:colOff>
      <xdr:row>6</xdr:row>
      <xdr:rowOff>27384</xdr:rowOff>
    </xdr:from>
    <xdr:to>
      <xdr:col>64</xdr:col>
      <xdr:colOff>142874</xdr:colOff>
      <xdr:row>22</xdr:row>
      <xdr:rowOff>133350</xdr:rowOff>
    </xdr:to>
    <xdr:graphicFrame macro="">
      <xdr:nvGraphicFramePr>
        <xdr:cNvPr id="8" name="Gráfico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42</xdr:col>
      <xdr:colOff>453573</xdr:colOff>
      <xdr:row>15</xdr:row>
      <xdr:rowOff>148169</xdr:rowOff>
    </xdr:from>
    <xdr:to>
      <xdr:col>49</xdr:col>
      <xdr:colOff>671</xdr:colOff>
      <xdr:row>23</xdr:row>
      <xdr:rowOff>148168</xdr:rowOff>
    </xdr:to>
    <xdr:pic>
      <xdr:nvPicPr>
        <xdr:cNvPr id="9" name="Imagem 8"/>
        <xdr:cNvPicPr>
          <a:picLocks noChangeAspect="1"/>
        </xdr:cNvPicPr>
      </xdr:nvPicPr>
      <xdr:blipFill rotWithShape="1">
        <a:blip xmlns:r="http://schemas.openxmlformats.org/officeDocument/2006/relationships" r:embed="rId2"/>
        <a:srcRect l="21651" t="58415" r="56175" b="27632"/>
        <a:stretch/>
      </xdr:blipFill>
      <xdr:spPr>
        <a:xfrm>
          <a:off x="11491367" y="3577169"/>
          <a:ext cx="3782921" cy="1523999"/>
        </a:xfrm>
        <a:prstGeom prst="rect">
          <a:avLst/>
        </a:prstGeom>
      </xdr:spPr>
    </xdr:pic>
    <xdr:clientData/>
  </xdr:twoCellAnchor>
</xdr:wsDr>
</file>

<file path=xl/drawings/drawing121.xml><?xml version="1.0" encoding="utf-8"?>
<c:userShapes xmlns:c="http://schemas.openxmlformats.org/drawingml/2006/chart">
  <cdr:relSizeAnchor xmlns:cdr="http://schemas.openxmlformats.org/drawingml/2006/chartDrawing">
    <cdr:from>
      <cdr:x>0.35163</cdr:x>
      <cdr:y>0.08192</cdr:y>
    </cdr:from>
    <cdr:to>
      <cdr:x>0.72107</cdr:x>
      <cdr:y>0.19064</cdr:y>
    </cdr:to>
    <cdr:sp macro="" textlink="">
      <cdr:nvSpPr>
        <cdr:cNvPr id="2" name="CaixaDeTexto 1"/>
        <cdr:cNvSpPr txBox="1"/>
      </cdr:nvSpPr>
      <cdr:spPr>
        <a:xfrm xmlns:a="http://schemas.openxmlformats.org/drawingml/2006/main">
          <a:off x="2257425" y="258366"/>
          <a:ext cx="2371725" cy="3429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pt-PT" sz="1100"/>
            <a:t>MCarvão</a:t>
          </a:r>
          <a:r>
            <a:rPr lang="pt-PT" sz="1100" baseline="0"/>
            <a:t> 31</a:t>
          </a:r>
          <a:r>
            <a:rPr lang="pt-PT" sz="1100"/>
            <a:t> - Chaminé</a:t>
          </a:r>
        </a:p>
      </cdr:txBody>
    </cdr:sp>
  </cdr:relSizeAnchor>
</c:userShapes>
</file>

<file path=xl/drawings/drawing122.xml><?xml version="1.0" encoding="utf-8"?>
<c:userShapes xmlns:c="http://schemas.openxmlformats.org/drawingml/2006/chart">
  <cdr:relSizeAnchor xmlns:cdr="http://schemas.openxmlformats.org/drawingml/2006/chartDrawing">
    <cdr:from>
      <cdr:x>0.35163</cdr:x>
      <cdr:y>0.08192</cdr:y>
    </cdr:from>
    <cdr:to>
      <cdr:x>0.72107</cdr:x>
      <cdr:y>0.19064</cdr:y>
    </cdr:to>
    <cdr:sp macro="" textlink="">
      <cdr:nvSpPr>
        <cdr:cNvPr id="2" name="CaixaDeTexto 1"/>
        <cdr:cNvSpPr txBox="1"/>
      </cdr:nvSpPr>
      <cdr:spPr>
        <a:xfrm xmlns:a="http://schemas.openxmlformats.org/drawingml/2006/main">
          <a:off x="2257425" y="258366"/>
          <a:ext cx="2371725" cy="3429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pt-PT" sz="1100"/>
            <a:t>MCarvão</a:t>
          </a:r>
          <a:r>
            <a:rPr lang="pt-PT" sz="1100" baseline="0"/>
            <a:t> 31</a:t>
          </a:r>
          <a:r>
            <a:rPr lang="pt-PT" sz="1100"/>
            <a:t> - Filtro</a:t>
          </a:r>
        </a:p>
      </cdr:txBody>
    </cdr:sp>
  </cdr:relSizeAnchor>
</c:userShapes>
</file>

<file path=xl/drawings/drawing123.xml><?xml version="1.0" encoding="utf-8"?>
<xdr:wsDr xmlns:xdr="http://schemas.openxmlformats.org/drawingml/2006/spreadsheetDrawing" xmlns:a="http://schemas.openxmlformats.org/drawingml/2006/main">
  <xdr:twoCellAnchor>
    <xdr:from>
      <xdr:col>0</xdr:col>
      <xdr:colOff>0</xdr:colOff>
      <xdr:row>0</xdr:row>
      <xdr:rowOff>19050</xdr:rowOff>
    </xdr:from>
    <xdr:to>
      <xdr:col>1</xdr:col>
      <xdr:colOff>445297</xdr:colOff>
      <xdr:row>2</xdr:row>
      <xdr:rowOff>0</xdr:rowOff>
    </xdr:to>
    <xdr:sp macro="" textlink="">
      <xdr:nvSpPr>
        <xdr:cNvPr id="2" name="Bisel 1">
          <a:hlinkClick xmlns:r="http://schemas.openxmlformats.org/officeDocument/2006/relationships" r:id="rId1"/>
        </xdr:cNvPr>
        <xdr:cNvSpPr/>
      </xdr:nvSpPr>
      <xdr:spPr>
        <a:xfrm>
          <a:off x="0" y="19050"/>
          <a:ext cx="645322" cy="36195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PT" sz="1100"/>
            <a:t>Index</a:t>
          </a:r>
        </a:p>
      </xdr:txBody>
    </xdr:sp>
    <xdr:clientData/>
  </xdr:twoCellAnchor>
</xdr:wsDr>
</file>

<file path=xl/drawings/drawing124.xml><?xml version="1.0" encoding="utf-8"?>
<xdr:wsDr xmlns:xdr="http://schemas.openxmlformats.org/drawingml/2006/spreadsheetDrawing" xmlns:a="http://schemas.openxmlformats.org/drawingml/2006/main">
  <xdr:twoCellAnchor editAs="oneCell">
    <xdr:from>
      <xdr:col>4</xdr:col>
      <xdr:colOff>609600</xdr:colOff>
      <xdr:row>27</xdr:row>
      <xdr:rowOff>85725</xdr:rowOff>
    </xdr:from>
    <xdr:to>
      <xdr:col>4</xdr:col>
      <xdr:colOff>609600</xdr:colOff>
      <xdr:row>30</xdr:row>
      <xdr:rowOff>145066</xdr:rowOff>
    </xdr:to>
    <xdr:pic>
      <xdr:nvPicPr>
        <xdr:cNvPr id="3" name="Imagem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00375" y="5229225"/>
          <a:ext cx="4483" cy="630841"/>
        </a:xfrm>
        <a:prstGeom prst="rect">
          <a:avLst/>
        </a:prstGeom>
      </xdr:spPr>
    </xdr:pic>
    <xdr:clientData/>
  </xdr:twoCellAnchor>
  <xdr:twoCellAnchor editAs="oneCell">
    <xdr:from>
      <xdr:col>3</xdr:col>
      <xdr:colOff>47625</xdr:colOff>
      <xdr:row>32</xdr:row>
      <xdr:rowOff>180976</xdr:rowOff>
    </xdr:from>
    <xdr:to>
      <xdr:col>3</xdr:col>
      <xdr:colOff>605118</xdr:colOff>
      <xdr:row>36</xdr:row>
      <xdr:rowOff>48968</xdr:rowOff>
    </xdr:to>
    <xdr:pic>
      <xdr:nvPicPr>
        <xdr:cNvPr id="4" name="Imagem 3" descr="http://www.infoescola.com/wp-content/uploads/2009/08/full-1-d9e96191be.jpg"/>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43075" y="6276976"/>
          <a:ext cx="557493" cy="6299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19050</xdr:rowOff>
    </xdr:from>
    <xdr:to>
      <xdr:col>1</xdr:col>
      <xdr:colOff>445297</xdr:colOff>
      <xdr:row>2</xdr:row>
      <xdr:rowOff>0</xdr:rowOff>
    </xdr:to>
    <xdr:sp macro="" textlink="">
      <xdr:nvSpPr>
        <xdr:cNvPr id="5" name="Bisel 4">
          <a:hlinkClick xmlns:r="http://schemas.openxmlformats.org/officeDocument/2006/relationships" r:id="rId3"/>
        </xdr:cNvPr>
        <xdr:cNvSpPr/>
      </xdr:nvSpPr>
      <xdr:spPr>
        <a:xfrm>
          <a:off x="0" y="19050"/>
          <a:ext cx="645322" cy="36195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PT" sz="1100"/>
            <a:t>Index</a:t>
          </a:r>
        </a:p>
      </xdr:txBody>
    </xdr:sp>
    <xdr:clientData/>
  </xdr:twoCellAnchor>
  <xdr:twoCellAnchor editAs="oneCell">
    <xdr:from>
      <xdr:col>1</xdr:col>
      <xdr:colOff>0</xdr:colOff>
      <xdr:row>37</xdr:row>
      <xdr:rowOff>0</xdr:rowOff>
    </xdr:from>
    <xdr:to>
      <xdr:col>6</xdr:col>
      <xdr:colOff>650331</xdr:colOff>
      <xdr:row>40</xdr:row>
      <xdr:rowOff>176420</xdr:rowOff>
    </xdr:to>
    <xdr:pic>
      <xdr:nvPicPr>
        <xdr:cNvPr id="6" name="Picture 58"/>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t="46773"/>
        <a:stretch/>
      </xdr:blipFill>
      <xdr:spPr bwMode="auto">
        <a:xfrm>
          <a:off x="201706" y="6477000"/>
          <a:ext cx="4964596" cy="747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0</xdr:col>
      <xdr:colOff>0</xdr:colOff>
      <xdr:row>0</xdr:row>
      <xdr:rowOff>19050</xdr:rowOff>
    </xdr:from>
    <xdr:to>
      <xdr:col>1</xdr:col>
      <xdr:colOff>445297</xdr:colOff>
      <xdr:row>2</xdr:row>
      <xdr:rowOff>0</xdr:rowOff>
    </xdr:to>
    <xdr:sp macro="" textlink="">
      <xdr:nvSpPr>
        <xdr:cNvPr id="7" name="Bisel 6">
          <a:hlinkClick xmlns:r="http://schemas.openxmlformats.org/officeDocument/2006/relationships" r:id="rId3"/>
        </xdr:cNvPr>
        <xdr:cNvSpPr/>
      </xdr:nvSpPr>
      <xdr:spPr>
        <a:xfrm>
          <a:off x="0" y="19050"/>
          <a:ext cx="645322" cy="36195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PT" sz="1100"/>
            <a:t>Index</a:t>
          </a:r>
        </a:p>
      </xdr:txBody>
    </xdr:sp>
    <xdr:clientData/>
  </xdr:twoCellAnchor>
  <xdr:twoCellAnchor>
    <xdr:from>
      <xdr:col>18</xdr:col>
      <xdr:colOff>0</xdr:colOff>
      <xdr:row>0</xdr:row>
      <xdr:rowOff>19050</xdr:rowOff>
    </xdr:from>
    <xdr:to>
      <xdr:col>19</xdr:col>
      <xdr:colOff>445297</xdr:colOff>
      <xdr:row>2</xdr:row>
      <xdr:rowOff>0</xdr:rowOff>
    </xdr:to>
    <xdr:sp macro="" textlink="">
      <xdr:nvSpPr>
        <xdr:cNvPr id="8" name="Bisel 7">
          <a:hlinkClick xmlns:r="http://schemas.openxmlformats.org/officeDocument/2006/relationships" r:id="rId3"/>
        </xdr:cNvPr>
        <xdr:cNvSpPr/>
      </xdr:nvSpPr>
      <xdr:spPr>
        <a:xfrm>
          <a:off x="0" y="19050"/>
          <a:ext cx="647003" cy="36195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PT" sz="1100"/>
            <a:t>Index</a:t>
          </a:r>
        </a:p>
      </xdr:txBody>
    </xdr:sp>
    <xdr:clientData/>
  </xdr:twoCellAnchor>
  <xdr:twoCellAnchor>
    <xdr:from>
      <xdr:col>41</xdr:col>
      <xdr:colOff>369794</xdr:colOff>
      <xdr:row>2</xdr:row>
      <xdr:rowOff>45942</xdr:rowOff>
    </xdr:from>
    <xdr:to>
      <xdr:col>53</xdr:col>
      <xdr:colOff>336179</xdr:colOff>
      <xdr:row>18</xdr:row>
      <xdr:rowOff>11206</xdr:rowOff>
    </xdr:to>
    <xdr:graphicFrame macro="">
      <xdr:nvGraphicFramePr>
        <xdr:cNvPr id="9" name="Gráfico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41</xdr:col>
      <xdr:colOff>369795</xdr:colOff>
      <xdr:row>19</xdr:row>
      <xdr:rowOff>0</xdr:rowOff>
    </xdr:from>
    <xdr:to>
      <xdr:col>53</xdr:col>
      <xdr:colOff>336180</xdr:colOff>
      <xdr:row>34</xdr:row>
      <xdr:rowOff>155764</xdr:rowOff>
    </xdr:to>
    <xdr:graphicFrame macro="">
      <xdr:nvGraphicFramePr>
        <xdr:cNvPr id="10" name="Gráfico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125.xml><?xml version="1.0" encoding="utf-8"?>
<xdr:wsDr xmlns:xdr="http://schemas.openxmlformats.org/drawingml/2006/spreadsheetDrawing" xmlns:a="http://schemas.openxmlformats.org/drawingml/2006/main">
  <xdr:twoCellAnchor editAs="oneCell">
    <xdr:from>
      <xdr:col>0</xdr:col>
      <xdr:colOff>0</xdr:colOff>
      <xdr:row>22</xdr:row>
      <xdr:rowOff>85725</xdr:rowOff>
    </xdr:from>
    <xdr:to>
      <xdr:col>0</xdr:col>
      <xdr:colOff>0</xdr:colOff>
      <xdr:row>25</xdr:row>
      <xdr:rowOff>145066</xdr:rowOff>
    </xdr:to>
    <xdr:pic>
      <xdr:nvPicPr>
        <xdr:cNvPr id="2" name="Imagem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00375" y="5229225"/>
          <a:ext cx="0" cy="630841"/>
        </a:xfrm>
        <a:prstGeom prst="rect">
          <a:avLst/>
        </a:prstGeom>
      </xdr:spPr>
    </xdr:pic>
    <xdr:clientData/>
  </xdr:twoCellAnchor>
  <xdr:twoCellAnchor editAs="oneCell">
    <xdr:from>
      <xdr:col>0</xdr:col>
      <xdr:colOff>0</xdr:colOff>
      <xdr:row>27</xdr:row>
      <xdr:rowOff>180976</xdr:rowOff>
    </xdr:from>
    <xdr:to>
      <xdr:col>1</xdr:col>
      <xdr:colOff>344581</xdr:colOff>
      <xdr:row>31</xdr:row>
      <xdr:rowOff>48968</xdr:rowOff>
    </xdr:to>
    <xdr:pic>
      <xdr:nvPicPr>
        <xdr:cNvPr id="3" name="Imagem 2" descr="http://www.infoescola.com/wp-content/uploads/2009/08/full-1-d9e96191be.jpg"/>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43075" y="6276976"/>
          <a:ext cx="557493" cy="6299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19050</xdr:rowOff>
    </xdr:from>
    <xdr:to>
      <xdr:col>0</xdr:col>
      <xdr:colOff>0</xdr:colOff>
      <xdr:row>2</xdr:row>
      <xdr:rowOff>0</xdr:rowOff>
    </xdr:to>
    <xdr:sp macro="" textlink="">
      <xdr:nvSpPr>
        <xdr:cNvPr id="4" name="Bisel 3">
          <a:hlinkClick xmlns:r="http://schemas.openxmlformats.org/officeDocument/2006/relationships" r:id="rId3"/>
        </xdr:cNvPr>
        <xdr:cNvSpPr/>
      </xdr:nvSpPr>
      <xdr:spPr>
        <a:xfrm>
          <a:off x="0" y="19050"/>
          <a:ext cx="645322" cy="36195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PT" sz="1100"/>
            <a:t>Index</a:t>
          </a:r>
        </a:p>
      </xdr:txBody>
    </xdr:sp>
    <xdr:clientData/>
  </xdr:twoCellAnchor>
  <xdr:twoCellAnchor editAs="oneCell">
    <xdr:from>
      <xdr:col>0</xdr:col>
      <xdr:colOff>0</xdr:colOff>
      <xdr:row>32</xdr:row>
      <xdr:rowOff>0</xdr:rowOff>
    </xdr:from>
    <xdr:to>
      <xdr:col>6</xdr:col>
      <xdr:colOff>34008</xdr:colOff>
      <xdr:row>35</xdr:row>
      <xdr:rowOff>176420</xdr:rowOff>
    </xdr:to>
    <xdr:pic>
      <xdr:nvPicPr>
        <xdr:cNvPr id="5" name="Picture 58"/>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t="46773"/>
        <a:stretch/>
      </xdr:blipFill>
      <xdr:spPr bwMode="auto">
        <a:xfrm>
          <a:off x="200025" y="7048500"/>
          <a:ext cx="4974681" cy="747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0</xdr:col>
      <xdr:colOff>0</xdr:colOff>
      <xdr:row>0</xdr:row>
      <xdr:rowOff>19050</xdr:rowOff>
    </xdr:from>
    <xdr:to>
      <xdr:col>0</xdr:col>
      <xdr:colOff>0</xdr:colOff>
      <xdr:row>2</xdr:row>
      <xdr:rowOff>0</xdr:rowOff>
    </xdr:to>
    <xdr:sp macro="" textlink="">
      <xdr:nvSpPr>
        <xdr:cNvPr id="6" name="Bisel 5">
          <a:hlinkClick xmlns:r="http://schemas.openxmlformats.org/officeDocument/2006/relationships" r:id="rId3"/>
        </xdr:cNvPr>
        <xdr:cNvSpPr/>
      </xdr:nvSpPr>
      <xdr:spPr>
        <a:xfrm>
          <a:off x="0" y="19050"/>
          <a:ext cx="645322" cy="36195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PT" sz="1100"/>
            <a:t>Index</a:t>
          </a:r>
        </a:p>
      </xdr:txBody>
    </xdr:sp>
    <xdr:clientData/>
  </xdr:twoCellAnchor>
  <xdr:twoCellAnchor>
    <xdr:from>
      <xdr:col>0</xdr:col>
      <xdr:colOff>0</xdr:colOff>
      <xdr:row>0</xdr:row>
      <xdr:rowOff>0</xdr:rowOff>
    </xdr:from>
    <xdr:to>
      <xdr:col>1</xdr:col>
      <xdr:colOff>434091</xdr:colOff>
      <xdr:row>1</xdr:row>
      <xdr:rowOff>171450</xdr:rowOff>
    </xdr:to>
    <xdr:sp macro="" textlink="">
      <xdr:nvSpPr>
        <xdr:cNvPr id="11" name="Bisel 10">
          <a:hlinkClick xmlns:r="http://schemas.openxmlformats.org/officeDocument/2006/relationships" r:id="rId3"/>
        </xdr:cNvPr>
        <xdr:cNvSpPr/>
      </xdr:nvSpPr>
      <xdr:spPr>
        <a:xfrm>
          <a:off x="0" y="0"/>
          <a:ext cx="647003" cy="36195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PT" sz="1100"/>
            <a:t>Index</a:t>
          </a:r>
        </a:p>
      </xdr:txBody>
    </xdr:sp>
    <xdr:clientData/>
  </xdr:twoCellAnchor>
</xdr:wsDr>
</file>

<file path=xl/drawings/drawing126.xml><?xml version="1.0" encoding="utf-8"?>
<xdr:wsDr xmlns:xdr="http://schemas.openxmlformats.org/drawingml/2006/spreadsheetDrawing" xmlns:a="http://schemas.openxmlformats.org/drawingml/2006/main">
  <xdr:twoCellAnchor editAs="oneCell">
    <xdr:from>
      <xdr:col>0</xdr:col>
      <xdr:colOff>0</xdr:colOff>
      <xdr:row>22</xdr:row>
      <xdr:rowOff>85725</xdr:rowOff>
    </xdr:from>
    <xdr:to>
      <xdr:col>0</xdr:col>
      <xdr:colOff>0</xdr:colOff>
      <xdr:row>25</xdr:row>
      <xdr:rowOff>145066</xdr:rowOff>
    </xdr:to>
    <xdr:pic>
      <xdr:nvPicPr>
        <xdr:cNvPr id="2" name="Imagem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4276725"/>
          <a:ext cx="0" cy="630841"/>
        </a:xfrm>
        <a:prstGeom prst="rect">
          <a:avLst/>
        </a:prstGeom>
      </xdr:spPr>
    </xdr:pic>
    <xdr:clientData/>
  </xdr:twoCellAnchor>
  <xdr:twoCellAnchor editAs="oneCell">
    <xdr:from>
      <xdr:col>0</xdr:col>
      <xdr:colOff>0</xdr:colOff>
      <xdr:row>27</xdr:row>
      <xdr:rowOff>180976</xdr:rowOff>
    </xdr:from>
    <xdr:to>
      <xdr:col>1</xdr:col>
      <xdr:colOff>344581</xdr:colOff>
      <xdr:row>31</xdr:row>
      <xdr:rowOff>48968</xdr:rowOff>
    </xdr:to>
    <xdr:pic>
      <xdr:nvPicPr>
        <xdr:cNvPr id="3" name="Imagem 2" descr="http://www.infoescola.com/wp-content/uploads/2009/08/full-1-d9e96191be.jpg"/>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5324476"/>
          <a:ext cx="554131" cy="6299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19050</xdr:rowOff>
    </xdr:from>
    <xdr:to>
      <xdr:col>0</xdr:col>
      <xdr:colOff>0</xdr:colOff>
      <xdr:row>2</xdr:row>
      <xdr:rowOff>0</xdr:rowOff>
    </xdr:to>
    <xdr:sp macro="" textlink="">
      <xdr:nvSpPr>
        <xdr:cNvPr id="4" name="Bisel 3">
          <a:hlinkClick xmlns:r="http://schemas.openxmlformats.org/officeDocument/2006/relationships" r:id="rId3"/>
        </xdr:cNvPr>
        <xdr:cNvSpPr/>
      </xdr:nvSpPr>
      <xdr:spPr>
        <a:xfrm>
          <a:off x="0" y="19050"/>
          <a:ext cx="0" cy="36195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PT" sz="1100"/>
            <a:t>Index</a:t>
          </a:r>
        </a:p>
      </xdr:txBody>
    </xdr:sp>
    <xdr:clientData/>
  </xdr:twoCellAnchor>
  <xdr:twoCellAnchor editAs="oneCell">
    <xdr:from>
      <xdr:col>0</xdr:col>
      <xdr:colOff>0</xdr:colOff>
      <xdr:row>32</xdr:row>
      <xdr:rowOff>0</xdr:rowOff>
    </xdr:from>
    <xdr:to>
      <xdr:col>5</xdr:col>
      <xdr:colOff>493449</xdr:colOff>
      <xdr:row>35</xdr:row>
      <xdr:rowOff>176420</xdr:rowOff>
    </xdr:to>
    <xdr:pic>
      <xdr:nvPicPr>
        <xdr:cNvPr id="5" name="Picture 58"/>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t="46773"/>
        <a:stretch/>
      </xdr:blipFill>
      <xdr:spPr bwMode="auto">
        <a:xfrm>
          <a:off x="0" y="6096000"/>
          <a:ext cx="4958433" cy="747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0</xdr:col>
      <xdr:colOff>0</xdr:colOff>
      <xdr:row>0</xdr:row>
      <xdr:rowOff>19050</xdr:rowOff>
    </xdr:from>
    <xdr:to>
      <xdr:col>0</xdr:col>
      <xdr:colOff>0</xdr:colOff>
      <xdr:row>2</xdr:row>
      <xdr:rowOff>0</xdr:rowOff>
    </xdr:to>
    <xdr:sp macro="" textlink="">
      <xdr:nvSpPr>
        <xdr:cNvPr id="6" name="Bisel 5">
          <a:hlinkClick xmlns:r="http://schemas.openxmlformats.org/officeDocument/2006/relationships" r:id="rId3"/>
        </xdr:cNvPr>
        <xdr:cNvSpPr/>
      </xdr:nvSpPr>
      <xdr:spPr>
        <a:xfrm>
          <a:off x="0" y="19050"/>
          <a:ext cx="0" cy="36195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PT" sz="1100"/>
            <a:t>Index</a:t>
          </a:r>
        </a:p>
      </xdr:txBody>
    </xdr:sp>
    <xdr:clientData/>
  </xdr:twoCellAnchor>
  <xdr:twoCellAnchor>
    <xdr:from>
      <xdr:col>0</xdr:col>
      <xdr:colOff>0</xdr:colOff>
      <xdr:row>0</xdr:row>
      <xdr:rowOff>0</xdr:rowOff>
    </xdr:from>
    <xdr:to>
      <xdr:col>1</xdr:col>
      <xdr:colOff>434091</xdr:colOff>
      <xdr:row>1</xdr:row>
      <xdr:rowOff>171450</xdr:rowOff>
    </xdr:to>
    <xdr:sp macro="" textlink="">
      <xdr:nvSpPr>
        <xdr:cNvPr id="7" name="Bisel 6">
          <a:hlinkClick xmlns:r="http://schemas.openxmlformats.org/officeDocument/2006/relationships" r:id="rId3"/>
        </xdr:cNvPr>
        <xdr:cNvSpPr/>
      </xdr:nvSpPr>
      <xdr:spPr>
        <a:xfrm>
          <a:off x="0" y="0"/>
          <a:ext cx="643641" cy="36195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PT" sz="1100"/>
            <a:t>Index</a:t>
          </a:r>
        </a:p>
      </xdr:txBody>
    </xdr:sp>
    <xdr:clientData/>
  </xdr:twoCellAnchor>
</xdr:wsDr>
</file>

<file path=xl/drawings/drawing127.xml><?xml version="1.0" encoding="utf-8"?>
<xdr:wsDr xmlns:xdr="http://schemas.openxmlformats.org/drawingml/2006/spreadsheetDrawing" xmlns:a="http://schemas.openxmlformats.org/drawingml/2006/main">
  <xdr:twoCellAnchor editAs="oneCell">
    <xdr:from>
      <xdr:col>4</xdr:col>
      <xdr:colOff>609600</xdr:colOff>
      <xdr:row>33</xdr:row>
      <xdr:rowOff>85725</xdr:rowOff>
    </xdr:from>
    <xdr:to>
      <xdr:col>4</xdr:col>
      <xdr:colOff>614083</xdr:colOff>
      <xdr:row>36</xdr:row>
      <xdr:rowOff>145066</xdr:rowOff>
    </xdr:to>
    <xdr:pic>
      <xdr:nvPicPr>
        <xdr:cNvPr id="3" name="Imagem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00375" y="4467225"/>
          <a:ext cx="0" cy="630841"/>
        </a:xfrm>
        <a:prstGeom prst="rect">
          <a:avLst/>
        </a:prstGeom>
      </xdr:spPr>
    </xdr:pic>
    <xdr:clientData/>
  </xdr:twoCellAnchor>
  <xdr:twoCellAnchor editAs="oneCell">
    <xdr:from>
      <xdr:col>3</xdr:col>
      <xdr:colOff>47625</xdr:colOff>
      <xdr:row>38</xdr:row>
      <xdr:rowOff>180976</xdr:rowOff>
    </xdr:from>
    <xdr:to>
      <xdr:col>3</xdr:col>
      <xdr:colOff>605118</xdr:colOff>
      <xdr:row>42</xdr:row>
      <xdr:rowOff>48968</xdr:rowOff>
    </xdr:to>
    <xdr:pic>
      <xdr:nvPicPr>
        <xdr:cNvPr id="4" name="Imagem 3" descr="http://www.infoescola.com/wp-content/uploads/2009/08/full-1-d9e96191be.jpg"/>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43075" y="5514976"/>
          <a:ext cx="557493" cy="6299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19050</xdr:rowOff>
    </xdr:from>
    <xdr:to>
      <xdr:col>1</xdr:col>
      <xdr:colOff>445297</xdr:colOff>
      <xdr:row>2</xdr:row>
      <xdr:rowOff>0</xdr:rowOff>
    </xdr:to>
    <xdr:sp macro="" textlink="">
      <xdr:nvSpPr>
        <xdr:cNvPr id="5" name="Bisel 4">
          <a:hlinkClick xmlns:r="http://schemas.openxmlformats.org/officeDocument/2006/relationships" r:id="rId3"/>
        </xdr:cNvPr>
        <xdr:cNvSpPr/>
      </xdr:nvSpPr>
      <xdr:spPr>
        <a:xfrm>
          <a:off x="0" y="19050"/>
          <a:ext cx="645322" cy="36195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PT" sz="1100"/>
            <a:t>Index</a:t>
          </a:r>
        </a:p>
      </xdr:txBody>
    </xdr:sp>
    <xdr:clientData/>
  </xdr:twoCellAnchor>
  <xdr:twoCellAnchor editAs="oneCell">
    <xdr:from>
      <xdr:col>1</xdr:col>
      <xdr:colOff>0</xdr:colOff>
      <xdr:row>43</xdr:row>
      <xdr:rowOff>0</xdr:rowOff>
    </xdr:from>
    <xdr:to>
      <xdr:col>6</xdr:col>
      <xdr:colOff>650331</xdr:colOff>
      <xdr:row>46</xdr:row>
      <xdr:rowOff>176420</xdr:rowOff>
    </xdr:to>
    <xdr:pic>
      <xdr:nvPicPr>
        <xdr:cNvPr id="6" name="Picture 58"/>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t="46773"/>
        <a:stretch/>
      </xdr:blipFill>
      <xdr:spPr bwMode="auto">
        <a:xfrm>
          <a:off x="201706" y="7620000"/>
          <a:ext cx="4964596" cy="747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44</xdr:col>
      <xdr:colOff>369794</xdr:colOff>
      <xdr:row>2</xdr:row>
      <xdr:rowOff>45942</xdr:rowOff>
    </xdr:from>
    <xdr:to>
      <xdr:col>56</xdr:col>
      <xdr:colOff>336179</xdr:colOff>
      <xdr:row>18</xdr:row>
      <xdr:rowOff>11206</xdr:rowOff>
    </xdr:to>
    <xdr:graphicFrame macro="">
      <xdr:nvGraphicFramePr>
        <xdr:cNvPr id="7" name="Gráfico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44</xdr:col>
      <xdr:colOff>358588</xdr:colOff>
      <xdr:row>19</xdr:row>
      <xdr:rowOff>0</xdr:rowOff>
    </xdr:from>
    <xdr:to>
      <xdr:col>56</xdr:col>
      <xdr:colOff>324973</xdr:colOff>
      <xdr:row>34</xdr:row>
      <xdr:rowOff>155764</xdr:rowOff>
    </xdr:to>
    <xdr:graphicFrame macro="">
      <xdr:nvGraphicFramePr>
        <xdr:cNvPr id="9" name="Gráfico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44</xdr:col>
      <xdr:colOff>358588</xdr:colOff>
      <xdr:row>35</xdr:row>
      <xdr:rowOff>145676</xdr:rowOff>
    </xdr:from>
    <xdr:to>
      <xdr:col>56</xdr:col>
      <xdr:colOff>324973</xdr:colOff>
      <xdr:row>51</xdr:row>
      <xdr:rowOff>110940</xdr:rowOff>
    </xdr:to>
    <xdr:graphicFrame macro="">
      <xdr:nvGraphicFramePr>
        <xdr:cNvPr id="10" name="Gráfico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44</xdr:col>
      <xdr:colOff>369794</xdr:colOff>
      <xdr:row>52</xdr:row>
      <xdr:rowOff>67236</xdr:rowOff>
    </xdr:from>
    <xdr:to>
      <xdr:col>56</xdr:col>
      <xdr:colOff>336179</xdr:colOff>
      <xdr:row>68</xdr:row>
      <xdr:rowOff>32500</xdr:rowOff>
    </xdr:to>
    <xdr:graphicFrame macro="">
      <xdr:nvGraphicFramePr>
        <xdr:cNvPr id="11" name="Gráfico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128.xml><?xml version="1.0" encoding="utf-8"?>
<xdr:wsDr xmlns:xdr="http://schemas.openxmlformats.org/drawingml/2006/spreadsheetDrawing" xmlns:a="http://schemas.openxmlformats.org/drawingml/2006/main">
  <xdr:twoCellAnchor editAs="oneCell">
    <xdr:from>
      <xdr:col>1</xdr:col>
      <xdr:colOff>0</xdr:colOff>
      <xdr:row>25</xdr:row>
      <xdr:rowOff>85725</xdr:rowOff>
    </xdr:from>
    <xdr:to>
      <xdr:col>1</xdr:col>
      <xdr:colOff>4483</xdr:colOff>
      <xdr:row>28</xdr:row>
      <xdr:rowOff>145066</xdr:rowOff>
    </xdr:to>
    <xdr:pic>
      <xdr:nvPicPr>
        <xdr:cNvPr id="2" name="Imagem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00375" y="6372225"/>
          <a:ext cx="4483" cy="630841"/>
        </a:xfrm>
        <a:prstGeom prst="rect">
          <a:avLst/>
        </a:prstGeom>
      </xdr:spPr>
    </xdr:pic>
    <xdr:clientData/>
  </xdr:twoCellAnchor>
  <xdr:twoCellAnchor editAs="oneCell">
    <xdr:from>
      <xdr:col>1</xdr:col>
      <xdr:colOff>0</xdr:colOff>
      <xdr:row>30</xdr:row>
      <xdr:rowOff>180976</xdr:rowOff>
    </xdr:from>
    <xdr:to>
      <xdr:col>1</xdr:col>
      <xdr:colOff>557493</xdr:colOff>
      <xdr:row>34</xdr:row>
      <xdr:rowOff>48968</xdr:rowOff>
    </xdr:to>
    <xdr:pic>
      <xdr:nvPicPr>
        <xdr:cNvPr id="3" name="Imagem 2" descr="http://www.infoescola.com/wp-content/uploads/2009/08/full-1-d9e96191be.jpg"/>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43075" y="7419976"/>
          <a:ext cx="557493" cy="6299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35</xdr:row>
      <xdr:rowOff>0</xdr:rowOff>
    </xdr:from>
    <xdr:to>
      <xdr:col>6</xdr:col>
      <xdr:colOff>246920</xdr:colOff>
      <xdr:row>38</xdr:row>
      <xdr:rowOff>176420</xdr:rowOff>
    </xdr:to>
    <xdr:pic>
      <xdr:nvPicPr>
        <xdr:cNvPr id="5" name="Picture 58"/>
        <xdr:cNvPicPr>
          <a:picLocks noChangeAspect="1" noChangeArrowheads="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6773"/>
        <a:stretch/>
      </xdr:blipFill>
      <xdr:spPr bwMode="auto">
        <a:xfrm>
          <a:off x="200025" y="8191500"/>
          <a:ext cx="4974681" cy="747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0</xdr:col>
      <xdr:colOff>0</xdr:colOff>
      <xdr:row>0</xdr:row>
      <xdr:rowOff>0</xdr:rowOff>
    </xdr:from>
    <xdr:to>
      <xdr:col>1</xdr:col>
      <xdr:colOff>445297</xdr:colOff>
      <xdr:row>1</xdr:row>
      <xdr:rowOff>171450</xdr:rowOff>
    </xdr:to>
    <xdr:sp macro="" textlink="">
      <xdr:nvSpPr>
        <xdr:cNvPr id="10" name="Bisel 9">
          <a:hlinkClick xmlns:r="http://schemas.openxmlformats.org/officeDocument/2006/relationships" r:id="rId4"/>
        </xdr:cNvPr>
        <xdr:cNvSpPr/>
      </xdr:nvSpPr>
      <xdr:spPr>
        <a:xfrm>
          <a:off x="0" y="0"/>
          <a:ext cx="647003" cy="36195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PT" sz="1100"/>
            <a:t>Index</a:t>
          </a:r>
        </a:p>
      </xdr:txBody>
    </xdr:sp>
    <xdr:clientData/>
  </xdr:twoCellAnchor>
  <xdr:twoCellAnchor editAs="oneCell">
    <xdr:from>
      <xdr:col>14</xdr:col>
      <xdr:colOff>453573</xdr:colOff>
      <xdr:row>15</xdr:row>
      <xdr:rowOff>148169</xdr:rowOff>
    </xdr:from>
    <xdr:to>
      <xdr:col>20</xdr:col>
      <xdr:colOff>605788</xdr:colOff>
      <xdr:row>23</xdr:row>
      <xdr:rowOff>148168</xdr:rowOff>
    </xdr:to>
    <xdr:pic>
      <xdr:nvPicPr>
        <xdr:cNvPr id="6" name="Imagem 5"/>
        <xdr:cNvPicPr>
          <a:picLocks noChangeAspect="1"/>
        </xdr:cNvPicPr>
      </xdr:nvPicPr>
      <xdr:blipFill rotWithShape="1">
        <a:blip xmlns:r="http://schemas.openxmlformats.org/officeDocument/2006/relationships" r:embed="rId5"/>
        <a:srcRect l="21651" t="58415" r="56175" b="27632"/>
        <a:stretch/>
      </xdr:blipFill>
      <xdr:spPr>
        <a:xfrm>
          <a:off x="31676523" y="6053669"/>
          <a:ext cx="3814297" cy="1523999"/>
        </a:xfrm>
        <a:prstGeom prst="rect">
          <a:avLst/>
        </a:prstGeom>
      </xdr:spPr>
    </xdr:pic>
    <xdr:clientData/>
  </xdr:twoCellAnchor>
  <xdr:twoCellAnchor editAs="oneCell">
    <xdr:from>
      <xdr:col>28</xdr:col>
      <xdr:colOff>453573</xdr:colOff>
      <xdr:row>19</xdr:row>
      <xdr:rowOff>148169</xdr:rowOff>
    </xdr:from>
    <xdr:to>
      <xdr:col>34</xdr:col>
      <xdr:colOff>605788</xdr:colOff>
      <xdr:row>27</xdr:row>
      <xdr:rowOff>148168</xdr:rowOff>
    </xdr:to>
    <xdr:pic>
      <xdr:nvPicPr>
        <xdr:cNvPr id="7" name="Imagem 6"/>
        <xdr:cNvPicPr>
          <a:picLocks noChangeAspect="1"/>
        </xdr:cNvPicPr>
      </xdr:nvPicPr>
      <xdr:blipFill rotWithShape="1">
        <a:blip xmlns:r="http://schemas.openxmlformats.org/officeDocument/2006/relationships" r:embed="rId5"/>
        <a:srcRect l="21651" t="58415" r="56175" b="27632"/>
        <a:stretch/>
      </xdr:blipFill>
      <xdr:spPr>
        <a:xfrm>
          <a:off x="11491367" y="3005669"/>
          <a:ext cx="3782921" cy="1523999"/>
        </a:xfrm>
        <a:prstGeom prst="rect">
          <a:avLst/>
        </a:prstGeom>
      </xdr:spPr>
    </xdr:pic>
    <xdr:clientData/>
  </xdr:twoCellAnchor>
  <xdr:twoCellAnchor editAs="oneCell">
    <xdr:from>
      <xdr:col>35</xdr:col>
      <xdr:colOff>95249</xdr:colOff>
      <xdr:row>7</xdr:row>
      <xdr:rowOff>57873</xdr:rowOff>
    </xdr:from>
    <xdr:to>
      <xdr:col>36</xdr:col>
      <xdr:colOff>518583</xdr:colOff>
      <xdr:row>9</xdr:row>
      <xdr:rowOff>162909</xdr:rowOff>
    </xdr:to>
    <xdr:pic>
      <xdr:nvPicPr>
        <xdr:cNvPr id="8" name="Imagem 7"/>
        <xdr:cNvPicPr>
          <a:picLocks noChangeAspect="1"/>
        </xdr:cNvPicPr>
      </xdr:nvPicPr>
      <xdr:blipFill rotWithShape="1">
        <a:blip xmlns:r="http://schemas.openxmlformats.org/officeDocument/2006/relationships" r:embed="rId6"/>
        <a:srcRect l="8472" t="43532" r="81278" b="47910"/>
        <a:stretch/>
      </xdr:blipFill>
      <xdr:spPr>
        <a:xfrm>
          <a:off x="35585399" y="1391373"/>
          <a:ext cx="1032934" cy="486036"/>
        </a:xfrm>
        <a:prstGeom prst="rect">
          <a:avLst/>
        </a:prstGeom>
      </xdr:spPr>
    </xdr:pic>
    <xdr:clientData/>
  </xdr:twoCellAnchor>
  <xdr:twoCellAnchor>
    <xdr:from>
      <xdr:col>39</xdr:col>
      <xdr:colOff>428624</xdr:colOff>
      <xdr:row>6</xdr:row>
      <xdr:rowOff>27384</xdr:rowOff>
    </xdr:from>
    <xdr:to>
      <xdr:col>50</xdr:col>
      <xdr:colOff>142874</xdr:colOff>
      <xdr:row>22</xdr:row>
      <xdr:rowOff>133350</xdr:rowOff>
    </xdr:to>
    <xdr:graphicFrame macro="">
      <xdr:nvGraphicFramePr>
        <xdr:cNvPr id="9" name="Gráfico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129.xml><?xml version="1.0" encoding="utf-8"?>
<c:userShapes xmlns:c="http://schemas.openxmlformats.org/drawingml/2006/chart">
  <cdr:relSizeAnchor xmlns:cdr="http://schemas.openxmlformats.org/drawingml/2006/chartDrawing">
    <cdr:from>
      <cdr:x>0.35163</cdr:x>
      <cdr:y>0.08192</cdr:y>
    </cdr:from>
    <cdr:to>
      <cdr:x>0.72107</cdr:x>
      <cdr:y>0.19064</cdr:y>
    </cdr:to>
    <cdr:sp macro="" textlink="">
      <cdr:nvSpPr>
        <cdr:cNvPr id="2" name="CaixaDeTexto 1"/>
        <cdr:cNvSpPr txBox="1"/>
      </cdr:nvSpPr>
      <cdr:spPr>
        <a:xfrm xmlns:a="http://schemas.openxmlformats.org/drawingml/2006/main">
          <a:off x="2257425" y="258366"/>
          <a:ext cx="2371725" cy="3429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pt-PT" sz="1100"/>
            <a:t>Mcimento 4</a:t>
          </a:r>
        </a:p>
      </cdr:txBody>
    </cdr:sp>
  </cdr:relSizeAnchor>
</c:userShapes>
</file>

<file path=xl/drawings/drawing13.xml><?xml version="1.0" encoding="utf-8"?>
<c:userShapes xmlns:c="http://schemas.openxmlformats.org/drawingml/2006/chart">
  <cdr:relSizeAnchor xmlns:cdr="http://schemas.openxmlformats.org/drawingml/2006/chartDrawing">
    <cdr:from>
      <cdr:x>0.82749</cdr:x>
      <cdr:y>0.53621</cdr:y>
    </cdr:from>
    <cdr:to>
      <cdr:x>0.99368</cdr:x>
      <cdr:y>0.72401</cdr:y>
    </cdr:to>
    <cdr:sp macro="" textlink="">
      <cdr:nvSpPr>
        <cdr:cNvPr id="2" name="CaixaDeTexto 1"/>
        <cdr:cNvSpPr txBox="1"/>
      </cdr:nvSpPr>
      <cdr:spPr>
        <a:xfrm xmlns:a="http://schemas.openxmlformats.org/drawingml/2006/main">
          <a:off x="4404532" y="891241"/>
          <a:ext cx="884613" cy="31214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r>
            <a:rPr lang="pt-PT" sz="900" baseline="0">
              <a:solidFill>
                <a:schemeClr val="bg1"/>
              </a:solidFill>
            </a:rPr>
            <a:t>Tempo activo</a:t>
          </a:r>
          <a:endParaRPr lang="pt-PT" sz="900">
            <a:solidFill>
              <a:schemeClr val="bg1"/>
            </a:solidFill>
          </a:endParaRPr>
        </a:p>
      </cdr:txBody>
    </cdr:sp>
  </cdr:relSizeAnchor>
  <cdr:relSizeAnchor xmlns:cdr="http://schemas.openxmlformats.org/drawingml/2006/chartDrawing">
    <cdr:from>
      <cdr:x>0.64534</cdr:x>
      <cdr:y>0.32047</cdr:y>
    </cdr:from>
    <cdr:to>
      <cdr:x>0.84955</cdr:x>
      <cdr:y>0.47553</cdr:y>
    </cdr:to>
    <cdr:sp macro="" textlink="">
      <cdr:nvSpPr>
        <cdr:cNvPr id="3" name="CaixaDeTexto 1"/>
        <cdr:cNvSpPr txBox="1"/>
      </cdr:nvSpPr>
      <cdr:spPr>
        <a:xfrm xmlns:a="http://schemas.openxmlformats.org/drawingml/2006/main">
          <a:off x="3434977" y="532653"/>
          <a:ext cx="1086970" cy="25773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pt-PT" sz="1000">
              <a:solidFill>
                <a:schemeClr val="bg1"/>
              </a:solidFill>
            </a:rPr>
            <a:t>Tempo</a:t>
          </a:r>
          <a:r>
            <a:rPr lang="pt-PT" sz="1000" baseline="0">
              <a:solidFill>
                <a:schemeClr val="bg1"/>
              </a:solidFill>
            </a:rPr>
            <a:t> inactivo</a:t>
          </a:r>
        </a:p>
      </cdr:txBody>
    </cdr:sp>
  </cdr:relSizeAnchor>
</c:userShapes>
</file>

<file path=xl/drawings/drawing130.xml><?xml version="1.0" encoding="utf-8"?>
<xdr:wsDr xmlns:xdr="http://schemas.openxmlformats.org/drawingml/2006/spreadsheetDrawing" xmlns:a="http://schemas.openxmlformats.org/drawingml/2006/main">
  <xdr:twoCellAnchor editAs="oneCell">
    <xdr:from>
      <xdr:col>1</xdr:col>
      <xdr:colOff>0</xdr:colOff>
      <xdr:row>25</xdr:row>
      <xdr:rowOff>85725</xdr:rowOff>
    </xdr:from>
    <xdr:to>
      <xdr:col>1</xdr:col>
      <xdr:colOff>4483</xdr:colOff>
      <xdr:row>28</xdr:row>
      <xdr:rowOff>145066</xdr:rowOff>
    </xdr:to>
    <xdr:pic>
      <xdr:nvPicPr>
        <xdr:cNvPr id="2" name="Imagem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0025" y="4848225"/>
          <a:ext cx="4483" cy="630841"/>
        </a:xfrm>
        <a:prstGeom prst="rect">
          <a:avLst/>
        </a:prstGeom>
      </xdr:spPr>
    </xdr:pic>
    <xdr:clientData/>
  </xdr:twoCellAnchor>
  <xdr:twoCellAnchor editAs="oneCell">
    <xdr:from>
      <xdr:col>1</xdr:col>
      <xdr:colOff>0</xdr:colOff>
      <xdr:row>30</xdr:row>
      <xdr:rowOff>180976</xdr:rowOff>
    </xdr:from>
    <xdr:to>
      <xdr:col>1</xdr:col>
      <xdr:colOff>557493</xdr:colOff>
      <xdr:row>34</xdr:row>
      <xdr:rowOff>48968</xdr:rowOff>
    </xdr:to>
    <xdr:pic>
      <xdr:nvPicPr>
        <xdr:cNvPr id="3" name="Imagem 2" descr="http://www.infoescola.com/wp-content/uploads/2009/08/full-1-d9e96191be.jpg"/>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0025" y="5895976"/>
          <a:ext cx="557493" cy="6299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35</xdr:row>
      <xdr:rowOff>0</xdr:rowOff>
    </xdr:from>
    <xdr:to>
      <xdr:col>6</xdr:col>
      <xdr:colOff>639126</xdr:colOff>
      <xdr:row>38</xdr:row>
      <xdr:rowOff>176420</xdr:rowOff>
    </xdr:to>
    <xdr:pic>
      <xdr:nvPicPr>
        <xdr:cNvPr id="4" name="Picture 58"/>
        <xdr:cNvPicPr>
          <a:picLocks noChangeAspect="1" noChangeArrowheads="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6773"/>
        <a:stretch/>
      </xdr:blipFill>
      <xdr:spPr bwMode="auto">
        <a:xfrm>
          <a:off x="200025" y="6667500"/>
          <a:ext cx="4961795" cy="747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0</xdr:col>
      <xdr:colOff>0</xdr:colOff>
      <xdr:row>0</xdr:row>
      <xdr:rowOff>0</xdr:rowOff>
    </xdr:from>
    <xdr:to>
      <xdr:col>1</xdr:col>
      <xdr:colOff>445297</xdr:colOff>
      <xdr:row>1</xdr:row>
      <xdr:rowOff>171450</xdr:rowOff>
    </xdr:to>
    <xdr:sp macro="" textlink="">
      <xdr:nvSpPr>
        <xdr:cNvPr id="5" name="Bisel 4">
          <a:hlinkClick xmlns:r="http://schemas.openxmlformats.org/officeDocument/2006/relationships" r:id="rId4"/>
        </xdr:cNvPr>
        <xdr:cNvSpPr/>
      </xdr:nvSpPr>
      <xdr:spPr>
        <a:xfrm>
          <a:off x="0" y="0"/>
          <a:ext cx="645322" cy="36195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PT" sz="1100"/>
            <a:t>Index</a:t>
          </a:r>
        </a:p>
      </xdr:txBody>
    </xdr:sp>
    <xdr:clientData/>
  </xdr:twoCellAnchor>
</xdr:wsDr>
</file>

<file path=xl/drawings/drawing131.xml><?xml version="1.0" encoding="utf-8"?>
<xdr:wsDr xmlns:xdr="http://schemas.openxmlformats.org/drawingml/2006/spreadsheetDrawing" xmlns:a="http://schemas.openxmlformats.org/drawingml/2006/main">
  <xdr:twoCellAnchor editAs="oneCell">
    <xdr:from>
      <xdr:col>4</xdr:col>
      <xdr:colOff>609600</xdr:colOff>
      <xdr:row>44</xdr:row>
      <xdr:rowOff>85725</xdr:rowOff>
    </xdr:from>
    <xdr:to>
      <xdr:col>4</xdr:col>
      <xdr:colOff>614083</xdr:colOff>
      <xdr:row>47</xdr:row>
      <xdr:rowOff>145066</xdr:rowOff>
    </xdr:to>
    <xdr:pic>
      <xdr:nvPicPr>
        <xdr:cNvPr id="3" name="Imagem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00375" y="5610225"/>
          <a:ext cx="4483" cy="630841"/>
        </a:xfrm>
        <a:prstGeom prst="rect">
          <a:avLst/>
        </a:prstGeom>
      </xdr:spPr>
    </xdr:pic>
    <xdr:clientData/>
  </xdr:twoCellAnchor>
  <xdr:twoCellAnchor editAs="oneCell">
    <xdr:from>
      <xdr:col>3</xdr:col>
      <xdr:colOff>47625</xdr:colOff>
      <xdr:row>49</xdr:row>
      <xdr:rowOff>180976</xdr:rowOff>
    </xdr:from>
    <xdr:to>
      <xdr:col>3</xdr:col>
      <xdr:colOff>605118</xdr:colOff>
      <xdr:row>53</xdr:row>
      <xdr:rowOff>48968</xdr:rowOff>
    </xdr:to>
    <xdr:pic>
      <xdr:nvPicPr>
        <xdr:cNvPr id="4" name="Imagem 3" descr="http://www.infoescola.com/wp-content/uploads/2009/08/full-1-d9e96191be.jpg"/>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43075" y="6657976"/>
          <a:ext cx="557493" cy="6299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19050</xdr:rowOff>
    </xdr:from>
    <xdr:to>
      <xdr:col>1</xdr:col>
      <xdr:colOff>445297</xdr:colOff>
      <xdr:row>2</xdr:row>
      <xdr:rowOff>0</xdr:rowOff>
    </xdr:to>
    <xdr:sp macro="" textlink="">
      <xdr:nvSpPr>
        <xdr:cNvPr id="5" name="Bisel 4">
          <a:hlinkClick xmlns:r="http://schemas.openxmlformats.org/officeDocument/2006/relationships" r:id="rId3"/>
        </xdr:cNvPr>
        <xdr:cNvSpPr/>
      </xdr:nvSpPr>
      <xdr:spPr>
        <a:xfrm>
          <a:off x="0" y="19050"/>
          <a:ext cx="645322" cy="36195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PT" sz="1100"/>
            <a:t>Index</a:t>
          </a:r>
        </a:p>
      </xdr:txBody>
    </xdr:sp>
    <xdr:clientData/>
  </xdr:twoCellAnchor>
  <xdr:twoCellAnchor editAs="oneCell">
    <xdr:from>
      <xdr:col>1</xdr:col>
      <xdr:colOff>0</xdr:colOff>
      <xdr:row>54</xdr:row>
      <xdr:rowOff>0</xdr:rowOff>
    </xdr:from>
    <xdr:to>
      <xdr:col>6</xdr:col>
      <xdr:colOff>650331</xdr:colOff>
      <xdr:row>57</xdr:row>
      <xdr:rowOff>176420</xdr:rowOff>
    </xdr:to>
    <xdr:pic>
      <xdr:nvPicPr>
        <xdr:cNvPr id="6" name="Picture 58"/>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t="46773"/>
        <a:stretch/>
      </xdr:blipFill>
      <xdr:spPr bwMode="auto">
        <a:xfrm>
          <a:off x="201706" y="9715500"/>
          <a:ext cx="4964596" cy="747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55</xdr:col>
      <xdr:colOff>369794</xdr:colOff>
      <xdr:row>2</xdr:row>
      <xdr:rowOff>45942</xdr:rowOff>
    </xdr:from>
    <xdr:to>
      <xdr:col>67</xdr:col>
      <xdr:colOff>336179</xdr:colOff>
      <xdr:row>18</xdr:row>
      <xdr:rowOff>11206</xdr:rowOff>
    </xdr:to>
    <xdr:graphicFrame macro="">
      <xdr:nvGraphicFramePr>
        <xdr:cNvPr id="7" name="Gráfico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55</xdr:col>
      <xdr:colOff>358588</xdr:colOff>
      <xdr:row>19</xdr:row>
      <xdr:rowOff>0</xdr:rowOff>
    </xdr:from>
    <xdr:to>
      <xdr:col>67</xdr:col>
      <xdr:colOff>324973</xdr:colOff>
      <xdr:row>34</xdr:row>
      <xdr:rowOff>155764</xdr:rowOff>
    </xdr:to>
    <xdr:graphicFrame macro="">
      <xdr:nvGraphicFramePr>
        <xdr:cNvPr id="8" name="Gráfico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55</xdr:col>
      <xdr:colOff>358588</xdr:colOff>
      <xdr:row>35</xdr:row>
      <xdr:rowOff>145676</xdr:rowOff>
    </xdr:from>
    <xdr:to>
      <xdr:col>67</xdr:col>
      <xdr:colOff>324973</xdr:colOff>
      <xdr:row>51</xdr:row>
      <xdr:rowOff>110940</xdr:rowOff>
    </xdr:to>
    <xdr:graphicFrame macro="">
      <xdr:nvGraphicFramePr>
        <xdr:cNvPr id="9" name="Gráfico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55</xdr:col>
      <xdr:colOff>347383</xdr:colOff>
      <xdr:row>52</xdr:row>
      <xdr:rowOff>33617</xdr:rowOff>
    </xdr:from>
    <xdr:to>
      <xdr:col>67</xdr:col>
      <xdr:colOff>313768</xdr:colOff>
      <xdr:row>67</xdr:row>
      <xdr:rowOff>189381</xdr:rowOff>
    </xdr:to>
    <xdr:graphicFrame macro="">
      <xdr:nvGraphicFramePr>
        <xdr:cNvPr id="12" name="Gráfico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55</xdr:col>
      <xdr:colOff>347382</xdr:colOff>
      <xdr:row>68</xdr:row>
      <xdr:rowOff>134471</xdr:rowOff>
    </xdr:from>
    <xdr:to>
      <xdr:col>67</xdr:col>
      <xdr:colOff>313767</xdr:colOff>
      <xdr:row>84</xdr:row>
      <xdr:rowOff>99735</xdr:rowOff>
    </xdr:to>
    <xdr:graphicFrame macro="">
      <xdr:nvGraphicFramePr>
        <xdr:cNvPr id="13" name="Gráfico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132.xml><?xml version="1.0" encoding="utf-8"?>
<xdr:wsDr xmlns:xdr="http://schemas.openxmlformats.org/drawingml/2006/spreadsheetDrawing" xmlns:a="http://schemas.openxmlformats.org/drawingml/2006/main">
  <xdr:twoCellAnchor editAs="oneCell">
    <xdr:from>
      <xdr:col>1</xdr:col>
      <xdr:colOff>0</xdr:colOff>
      <xdr:row>28</xdr:row>
      <xdr:rowOff>0</xdr:rowOff>
    </xdr:from>
    <xdr:to>
      <xdr:col>1</xdr:col>
      <xdr:colOff>4483</xdr:colOff>
      <xdr:row>31</xdr:row>
      <xdr:rowOff>59341</xdr:rowOff>
    </xdr:to>
    <xdr:pic>
      <xdr:nvPicPr>
        <xdr:cNvPr id="2" name="Imagem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00375" y="8467725"/>
          <a:ext cx="4483" cy="630841"/>
        </a:xfrm>
        <a:prstGeom prst="rect">
          <a:avLst/>
        </a:prstGeom>
      </xdr:spPr>
    </xdr:pic>
    <xdr:clientData/>
  </xdr:twoCellAnchor>
  <xdr:twoCellAnchor>
    <xdr:from>
      <xdr:col>0</xdr:col>
      <xdr:colOff>0</xdr:colOff>
      <xdr:row>0</xdr:row>
      <xdr:rowOff>0</xdr:rowOff>
    </xdr:from>
    <xdr:to>
      <xdr:col>1</xdr:col>
      <xdr:colOff>445297</xdr:colOff>
      <xdr:row>1</xdr:row>
      <xdr:rowOff>171450</xdr:rowOff>
    </xdr:to>
    <xdr:sp macro="" textlink="">
      <xdr:nvSpPr>
        <xdr:cNvPr id="11" name="Bisel 10">
          <a:hlinkClick xmlns:r="http://schemas.openxmlformats.org/officeDocument/2006/relationships" r:id="rId2"/>
        </xdr:cNvPr>
        <xdr:cNvSpPr/>
      </xdr:nvSpPr>
      <xdr:spPr>
        <a:xfrm>
          <a:off x="0" y="0"/>
          <a:ext cx="647003" cy="36195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PT" sz="1100"/>
            <a:t>Index</a:t>
          </a:r>
        </a:p>
      </xdr:txBody>
    </xdr:sp>
    <xdr:clientData/>
  </xdr:twoCellAnchor>
  <xdr:twoCellAnchor editAs="oneCell">
    <xdr:from>
      <xdr:col>14</xdr:col>
      <xdr:colOff>453573</xdr:colOff>
      <xdr:row>18</xdr:row>
      <xdr:rowOff>148169</xdr:rowOff>
    </xdr:from>
    <xdr:to>
      <xdr:col>21</xdr:col>
      <xdr:colOff>670</xdr:colOff>
      <xdr:row>26</xdr:row>
      <xdr:rowOff>148168</xdr:rowOff>
    </xdr:to>
    <xdr:pic>
      <xdr:nvPicPr>
        <xdr:cNvPr id="4" name="Imagem 3"/>
        <xdr:cNvPicPr>
          <a:picLocks noChangeAspect="1"/>
        </xdr:cNvPicPr>
      </xdr:nvPicPr>
      <xdr:blipFill rotWithShape="1">
        <a:blip xmlns:r="http://schemas.openxmlformats.org/officeDocument/2006/relationships" r:embed="rId3"/>
        <a:srcRect l="21651" t="58415" r="56175" b="27632"/>
        <a:stretch/>
      </xdr:blipFill>
      <xdr:spPr>
        <a:xfrm>
          <a:off x="11512098" y="3005669"/>
          <a:ext cx="3809815" cy="1523999"/>
        </a:xfrm>
        <a:prstGeom prst="rect">
          <a:avLst/>
        </a:prstGeom>
      </xdr:spPr>
    </xdr:pic>
    <xdr:clientData/>
  </xdr:twoCellAnchor>
  <xdr:twoCellAnchor editAs="oneCell">
    <xdr:from>
      <xdr:col>21</xdr:col>
      <xdr:colOff>95249</xdr:colOff>
      <xdr:row>7</xdr:row>
      <xdr:rowOff>57873</xdr:rowOff>
    </xdr:from>
    <xdr:to>
      <xdr:col>22</xdr:col>
      <xdr:colOff>518583</xdr:colOff>
      <xdr:row>9</xdr:row>
      <xdr:rowOff>162909</xdr:rowOff>
    </xdr:to>
    <xdr:pic>
      <xdr:nvPicPr>
        <xdr:cNvPr id="5" name="Imagem 4"/>
        <xdr:cNvPicPr>
          <a:picLocks noChangeAspect="1"/>
        </xdr:cNvPicPr>
      </xdr:nvPicPr>
      <xdr:blipFill rotWithShape="1">
        <a:blip xmlns:r="http://schemas.openxmlformats.org/officeDocument/2006/relationships" r:embed="rId4"/>
        <a:srcRect l="8472" t="43532" r="81278" b="47910"/>
        <a:stretch/>
      </xdr:blipFill>
      <xdr:spPr>
        <a:xfrm>
          <a:off x="24279224" y="1391373"/>
          <a:ext cx="1032934" cy="486036"/>
        </a:xfrm>
        <a:prstGeom prst="rect">
          <a:avLst/>
        </a:prstGeom>
      </xdr:spPr>
    </xdr:pic>
    <xdr:clientData/>
  </xdr:twoCellAnchor>
  <xdr:twoCellAnchor>
    <xdr:from>
      <xdr:col>25</xdr:col>
      <xdr:colOff>428624</xdr:colOff>
      <xdr:row>6</xdr:row>
      <xdr:rowOff>27384</xdr:rowOff>
    </xdr:from>
    <xdr:to>
      <xdr:col>36</xdr:col>
      <xdr:colOff>142874</xdr:colOff>
      <xdr:row>22</xdr:row>
      <xdr:rowOff>133350</xdr:rowOff>
    </xdr:to>
    <xdr:graphicFrame macro="">
      <xdr:nvGraphicFramePr>
        <xdr:cNvPr id="6" name="Gráfico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77</xdr:col>
      <xdr:colOff>95249</xdr:colOff>
      <xdr:row>7</xdr:row>
      <xdr:rowOff>57873</xdr:rowOff>
    </xdr:from>
    <xdr:to>
      <xdr:col>78</xdr:col>
      <xdr:colOff>518582</xdr:colOff>
      <xdr:row>9</xdr:row>
      <xdr:rowOff>162909</xdr:rowOff>
    </xdr:to>
    <xdr:pic>
      <xdr:nvPicPr>
        <xdr:cNvPr id="12" name="Imagem 11"/>
        <xdr:cNvPicPr>
          <a:picLocks noChangeAspect="1"/>
        </xdr:cNvPicPr>
      </xdr:nvPicPr>
      <xdr:blipFill rotWithShape="1">
        <a:blip xmlns:r="http://schemas.openxmlformats.org/officeDocument/2006/relationships" r:embed="rId4"/>
        <a:srcRect l="8472" t="43532" r="81278" b="47910"/>
        <a:stretch/>
      </xdr:blipFill>
      <xdr:spPr>
        <a:xfrm>
          <a:off x="15368867" y="1391373"/>
          <a:ext cx="1028451" cy="486036"/>
        </a:xfrm>
        <a:prstGeom prst="rect">
          <a:avLst/>
        </a:prstGeom>
      </xdr:spPr>
    </xdr:pic>
    <xdr:clientData/>
  </xdr:twoCellAnchor>
  <xdr:twoCellAnchor>
    <xdr:from>
      <xdr:col>81</xdr:col>
      <xdr:colOff>428624</xdr:colOff>
      <xdr:row>6</xdr:row>
      <xdr:rowOff>27384</xdr:rowOff>
    </xdr:from>
    <xdr:to>
      <xdr:col>92</xdr:col>
      <xdr:colOff>142874</xdr:colOff>
      <xdr:row>22</xdr:row>
      <xdr:rowOff>133350</xdr:rowOff>
    </xdr:to>
    <xdr:graphicFrame macro="">
      <xdr:nvGraphicFramePr>
        <xdr:cNvPr id="13" name="Gráfico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70</xdr:col>
      <xdr:colOff>453573</xdr:colOff>
      <xdr:row>18</xdr:row>
      <xdr:rowOff>148169</xdr:rowOff>
    </xdr:from>
    <xdr:to>
      <xdr:col>77</xdr:col>
      <xdr:colOff>671</xdr:colOff>
      <xdr:row>26</xdr:row>
      <xdr:rowOff>148168</xdr:rowOff>
    </xdr:to>
    <xdr:pic>
      <xdr:nvPicPr>
        <xdr:cNvPr id="15" name="Imagem 14"/>
        <xdr:cNvPicPr>
          <a:picLocks noChangeAspect="1"/>
        </xdr:cNvPicPr>
      </xdr:nvPicPr>
      <xdr:blipFill rotWithShape="1">
        <a:blip xmlns:r="http://schemas.openxmlformats.org/officeDocument/2006/relationships" r:embed="rId3"/>
        <a:srcRect l="21651" t="58415" r="56175" b="27632"/>
        <a:stretch/>
      </xdr:blipFill>
      <xdr:spPr>
        <a:xfrm>
          <a:off x="11491367" y="3577169"/>
          <a:ext cx="3782921" cy="1523999"/>
        </a:xfrm>
        <a:prstGeom prst="rect">
          <a:avLst/>
        </a:prstGeom>
      </xdr:spPr>
    </xdr:pic>
    <xdr:clientData/>
  </xdr:twoCellAnchor>
  <xdr:twoCellAnchor editAs="oneCell">
    <xdr:from>
      <xdr:col>98</xdr:col>
      <xdr:colOff>453573</xdr:colOff>
      <xdr:row>19</xdr:row>
      <xdr:rowOff>148169</xdr:rowOff>
    </xdr:from>
    <xdr:to>
      <xdr:col>105</xdr:col>
      <xdr:colOff>670</xdr:colOff>
      <xdr:row>27</xdr:row>
      <xdr:rowOff>148168</xdr:rowOff>
    </xdr:to>
    <xdr:pic>
      <xdr:nvPicPr>
        <xdr:cNvPr id="16" name="Imagem 15"/>
        <xdr:cNvPicPr>
          <a:picLocks noChangeAspect="1"/>
        </xdr:cNvPicPr>
      </xdr:nvPicPr>
      <xdr:blipFill rotWithShape="1">
        <a:blip xmlns:r="http://schemas.openxmlformats.org/officeDocument/2006/relationships" r:embed="rId3"/>
        <a:srcRect l="21651" t="58415" r="56175" b="27632"/>
        <a:stretch/>
      </xdr:blipFill>
      <xdr:spPr>
        <a:xfrm>
          <a:off x="31079249" y="3577169"/>
          <a:ext cx="3782921" cy="1523999"/>
        </a:xfrm>
        <a:prstGeom prst="rect">
          <a:avLst/>
        </a:prstGeom>
      </xdr:spPr>
    </xdr:pic>
    <xdr:clientData/>
  </xdr:twoCellAnchor>
  <xdr:twoCellAnchor editAs="oneCell">
    <xdr:from>
      <xdr:col>105</xdr:col>
      <xdr:colOff>95249</xdr:colOff>
      <xdr:row>7</xdr:row>
      <xdr:rowOff>57873</xdr:rowOff>
    </xdr:from>
    <xdr:to>
      <xdr:col>106</xdr:col>
      <xdr:colOff>518582</xdr:colOff>
      <xdr:row>9</xdr:row>
      <xdr:rowOff>162909</xdr:rowOff>
    </xdr:to>
    <xdr:pic>
      <xdr:nvPicPr>
        <xdr:cNvPr id="17" name="Imagem 16"/>
        <xdr:cNvPicPr>
          <a:picLocks noChangeAspect="1"/>
        </xdr:cNvPicPr>
      </xdr:nvPicPr>
      <xdr:blipFill rotWithShape="1">
        <a:blip xmlns:r="http://schemas.openxmlformats.org/officeDocument/2006/relationships" r:embed="rId4"/>
        <a:srcRect l="8472" t="43532" r="81278" b="47910"/>
        <a:stretch/>
      </xdr:blipFill>
      <xdr:spPr>
        <a:xfrm>
          <a:off x="34956749" y="1391373"/>
          <a:ext cx="1028451" cy="486036"/>
        </a:xfrm>
        <a:prstGeom prst="rect">
          <a:avLst/>
        </a:prstGeom>
      </xdr:spPr>
    </xdr:pic>
    <xdr:clientData/>
  </xdr:twoCellAnchor>
  <xdr:twoCellAnchor>
    <xdr:from>
      <xdr:col>109</xdr:col>
      <xdr:colOff>428624</xdr:colOff>
      <xdr:row>6</xdr:row>
      <xdr:rowOff>27384</xdr:rowOff>
    </xdr:from>
    <xdr:to>
      <xdr:col>120</xdr:col>
      <xdr:colOff>142874</xdr:colOff>
      <xdr:row>22</xdr:row>
      <xdr:rowOff>133350</xdr:rowOff>
    </xdr:to>
    <xdr:graphicFrame macro="">
      <xdr:nvGraphicFramePr>
        <xdr:cNvPr id="18" name="Gráfico 1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126</xdr:col>
      <xdr:colOff>453573</xdr:colOff>
      <xdr:row>16</xdr:row>
      <xdr:rowOff>148169</xdr:rowOff>
    </xdr:from>
    <xdr:to>
      <xdr:col>133</xdr:col>
      <xdr:colOff>670</xdr:colOff>
      <xdr:row>24</xdr:row>
      <xdr:rowOff>148168</xdr:rowOff>
    </xdr:to>
    <xdr:pic>
      <xdr:nvPicPr>
        <xdr:cNvPr id="19" name="Imagem 18"/>
        <xdr:cNvPicPr>
          <a:picLocks noChangeAspect="1"/>
        </xdr:cNvPicPr>
      </xdr:nvPicPr>
      <xdr:blipFill rotWithShape="1">
        <a:blip xmlns:r="http://schemas.openxmlformats.org/officeDocument/2006/relationships" r:embed="rId3"/>
        <a:srcRect l="21651" t="58415" r="56175" b="27632"/>
        <a:stretch/>
      </xdr:blipFill>
      <xdr:spPr>
        <a:xfrm>
          <a:off x="48246661" y="3767669"/>
          <a:ext cx="3782921" cy="1523999"/>
        </a:xfrm>
        <a:prstGeom prst="rect">
          <a:avLst/>
        </a:prstGeom>
      </xdr:spPr>
    </xdr:pic>
    <xdr:clientData/>
  </xdr:twoCellAnchor>
  <xdr:twoCellAnchor editAs="oneCell">
    <xdr:from>
      <xdr:col>133</xdr:col>
      <xdr:colOff>95249</xdr:colOff>
      <xdr:row>7</xdr:row>
      <xdr:rowOff>57873</xdr:rowOff>
    </xdr:from>
    <xdr:to>
      <xdr:col>134</xdr:col>
      <xdr:colOff>518583</xdr:colOff>
      <xdr:row>9</xdr:row>
      <xdr:rowOff>162909</xdr:rowOff>
    </xdr:to>
    <xdr:pic>
      <xdr:nvPicPr>
        <xdr:cNvPr id="20" name="Imagem 19"/>
        <xdr:cNvPicPr>
          <a:picLocks noChangeAspect="1"/>
        </xdr:cNvPicPr>
      </xdr:nvPicPr>
      <xdr:blipFill rotWithShape="1">
        <a:blip xmlns:r="http://schemas.openxmlformats.org/officeDocument/2006/relationships" r:embed="rId4"/>
        <a:srcRect l="8472" t="43532" r="81278" b="47910"/>
        <a:stretch/>
      </xdr:blipFill>
      <xdr:spPr>
        <a:xfrm>
          <a:off x="52124161" y="1391373"/>
          <a:ext cx="1028451" cy="486036"/>
        </a:xfrm>
        <a:prstGeom prst="rect">
          <a:avLst/>
        </a:prstGeom>
      </xdr:spPr>
    </xdr:pic>
    <xdr:clientData/>
  </xdr:twoCellAnchor>
  <xdr:twoCellAnchor>
    <xdr:from>
      <xdr:col>137</xdr:col>
      <xdr:colOff>428624</xdr:colOff>
      <xdr:row>6</xdr:row>
      <xdr:rowOff>27384</xdr:rowOff>
    </xdr:from>
    <xdr:to>
      <xdr:col>148</xdr:col>
      <xdr:colOff>142874</xdr:colOff>
      <xdr:row>22</xdr:row>
      <xdr:rowOff>133350</xdr:rowOff>
    </xdr:to>
    <xdr:graphicFrame macro="">
      <xdr:nvGraphicFramePr>
        <xdr:cNvPr id="21" name="Gráfico 2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42</xdr:col>
      <xdr:colOff>453573</xdr:colOff>
      <xdr:row>15</xdr:row>
      <xdr:rowOff>148169</xdr:rowOff>
    </xdr:from>
    <xdr:to>
      <xdr:col>49</xdr:col>
      <xdr:colOff>671</xdr:colOff>
      <xdr:row>23</xdr:row>
      <xdr:rowOff>148168</xdr:rowOff>
    </xdr:to>
    <xdr:pic>
      <xdr:nvPicPr>
        <xdr:cNvPr id="24" name="Imagem 23"/>
        <xdr:cNvPicPr>
          <a:picLocks noChangeAspect="1"/>
        </xdr:cNvPicPr>
      </xdr:nvPicPr>
      <xdr:blipFill rotWithShape="1">
        <a:blip xmlns:r="http://schemas.openxmlformats.org/officeDocument/2006/relationships" r:embed="rId3"/>
        <a:srcRect l="21651" t="58415" r="56175" b="27632"/>
        <a:stretch/>
      </xdr:blipFill>
      <xdr:spPr>
        <a:xfrm>
          <a:off x="11491367" y="3577169"/>
          <a:ext cx="3782921" cy="1523999"/>
        </a:xfrm>
        <a:prstGeom prst="rect">
          <a:avLst/>
        </a:prstGeom>
      </xdr:spPr>
    </xdr:pic>
    <xdr:clientData/>
  </xdr:twoCellAnchor>
  <xdr:twoCellAnchor editAs="oneCell">
    <xdr:from>
      <xdr:col>49</xdr:col>
      <xdr:colOff>95249</xdr:colOff>
      <xdr:row>7</xdr:row>
      <xdr:rowOff>57873</xdr:rowOff>
    </xdr:from>
    <xdr:to>
      <xdr:col>50</xdr:col>
      <xdr:colOff>518582</xdr:colOff>
      <xdr:row>9</xdr:row>
      <xdr:rowOff>162909</xdr:rowOff>
    </xdr:to>
    <xdr:pic>
      <xdr:nvPicPr>
        <xdr:cNvPr id="25" name="Imagem 24"/>
        <xdr:cNvPicPr>
          <a:picLocks noChangeAspect="1"/>
        </xdr:cNvPicPr>
      </xdr:nvPicPr>
      <xdr:blipFill rotWithShape="1">
        <a:blip xmlns:r="http://schemas.openxmlformats.org/officeDocument/2006/relationships" r:embed="rId4"/>
        <a:srcRect l="8472" t="43532" r="81278" b="47910"/>
        <a:stretch/>
      </xdr:blipFill>
      <xdr:spPr>
        <a:xfrm>
          <a:off x="15368867" y="1391373"/>
          <a:ext cx="1028451" cy="486036"/>
        </a:xfrm>
        <a:prstGeom prst="rect">
          <a:avLst/>
        </a:prstGeom>
      </xdr:spPr>
    </xdr:pic>
    <xdr:clientData/>
  </xdr:twoCellAnchor>
  <xdr:twoCellAnchor>
    <xdr:from>
      <xdr:col>53</xdr:col>
      <xdr:colOff>428624</xdr:colOff>
      <xdr:row>6</xdr:row>
      <xdr:rowOff>27384</xdr:rowOff>
    </xdr:from>
    <xdr:to>
      <xdr:col>64</xdr:col>
      <xdr:colOff>142874</xdr:colOff>
      <xdr:row>22</xdr:row>
      <xdr:rowOff>133350</xdr:rowOff>
    </xdr:to>
    <xdr:graphicFrame macro="">
      <xdr:nvGraphicFramePr>
        <xdr:cNvPr id="26" name="Gráfico 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133.xml><?xml version="1.0" encoding="utf-8"?>
<c:userShapes xmlns:c="http://schemas.openxmlformats.org/drawingml/2006/chart">
  <cdr:relSizeAnchor xmlns:cdr="http://schemas.openxmlformats.org/drawingml/2006/chartDrawing">
    <cdr:from>
      <cdr:x>0.35163</cdr:x>
      <cdr:y>0.08192</cdr:y>
    </cdr:from>
    <cdr:to>
      <cdr:x>0.72107</cdr:x>
      <cdr:y>0.19064</cdr:y>
    </cdr:to>
    <cdr:sp macro="" textlink="">
      <cdr:nvSpPr>
        <cdr:cNvPr id="2" name="CaixaDeTexto 1"/>
        <cdr:cNvSpPr txBox="1"/>
      </cdr:nvSpPr>
      <cdr:spPr>
        <a:xfrm xmlns:a="http://schemas.openxmlformats.org/drawingml/2006/main">
          <a:off x="2257425" y="258366"/>
          <a:ext cx="2371725" cy="3429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pt-PT" sz="1100"/>
            <a:t>EQAr - Brasfemes</a:t>
          </a:r>
        </a:p>
      </cdr:txBody>
    </cdr:sp>
  </cdr:relSizeAnchor>
</c:userShapes>
</file>

<file path=xl/drawings/drawing134.xml><?xml version="1.0" encoding="utf-8"?>
<c:userShapes xmlns:c="http://schemas.openxmlformats.org/drawingml/2006/chart">
  <cdr:relSizeAnchor xmlns:cdr="http://schemas.openxmlformats.org/drawingml/2006/chartDrawing">
    <cdr:from>
      <cdr:x>0.35163</cdr:x>
      <cdr:y>0.08192</cdr:y>
    </cdr:from>
    <cdr:to>
      <cdr:x>0.72107</cdr:x>
      <cdr:y>0.19064</cdr:y>
    </cdr:to>
    <cdr:sp macro="" textlink="">
      <cdr:nvSpPr>
        <cdr:cNvPr id="2" name="CaixaDeTexto 1"/>
        <cdr:cNvSpPr txBox="1"/>
      </cdr:nvSpPr>
      <cdr:spPr>
        <a:xfrm xmlns:a="http://schemas.openxmlformats.org/drawingml/2006/main">
          <a:off x="2257425" y="258366"/>
          <a:ext cx="2371725" cy="3429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pt-PT" sz="1100"/>
            <a:t>EQAr - Barreira</a:t>
          </a:r>
        </a:p>
      </cdr:txBody>
    </cdr:sp>
  </cdr:relSizeAnchor>
</c:userShapes>
</file>

<file path=xl/drawings/drawing135.xml><?xml version="1.0" encoding="utf-8"?>
<c:userShapes xmlns:c="http://schemas.openxmlformats.org/drawingml/2006/chart">
  <cdr:relSizeAnchor xmlns:cdr="http://schemas.openxmlformats.org/drawingml/2006/chartDrawing">
    <cdr:from>
      <cdr:x>0.35163</cdr:x>
      <cdr:y>0.08192</cdr:y>
    </cdr:from>
    <cdr:to>
      <cdr:x>0.72107</cdr:x>
      <cdr:y>0.19064</cdr:y>
    </cdr:to>
    <cdr:sp macro="" textlink="">
      <cdr:nvSpPr>
        <cdr:cNvPr id="2" name="CaixaDeTexto 1"/>
        <cdr:cNvSpPr txBox="1"/>
      </cdr:nvSpPr>
      <cdr:spPr>
        <a:xfrm xmlns:a="http://schemas.openxmlformats.org/drawingml/2006/main">
          <a:off x="2257425" y="258366"/>
          <a:ext cx="2371725" cy="3429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pt-PT" sz="1100"/>
            <a:t>EQAr - Parque</a:t>
          </a:r>
        </a:p>
      </cdr:txBody>
    </cdr:sp>
  </cdr:relSizeAnchor>
</c:userShapes>
</file>

<file path=xl/drawings/drawing136.xml><?xml version="1.0" encoding="utf-8"?>
<c:userShapes xmlns:c="http://schemas.openxmlformats.org/drawingml/2006/chart">
  <cdr:relSizeAnchor xmlns:cdr="http://schemas.openxmlformats.org/drawingml/2006/chartDrawing">
    <cdr:from>
      <cdr:x>0.35163</cdr:x>
      <cdr:y>0.08192</cdr:y>
    </cdr:from>
    <cdr:to>
      <cdr:x>0.72107</cdr:x>
      <cdr:y>0.19064</cdr:y>
    </cdr:to>
    <cdr:sp macro="" textlink="">
      <cdr:nvSpPr>
        <cdr:cNvPr id="2" name="CaixaDeTexto 1"/>
        <cdr:cNvSpPr txBox="1"/>
      </cdr:nvSpPr>
      <cdr:spPr>
        <a:xfrm xmlns:a="http://schemas.openxmlformats.org/drawingml/2006/main">
          <a:off x="2257425" y="258366"/>
          <a:ext cx="2371725" cy="3429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pt-PT" sz="1100"/>
            <a:t>EQAr - Pontão</a:t>
          </a:r>
        </a:p>
      </cdr:txBody>
    </cdr:sp>
  </cdr:relSizeAnchor>
</c:userShapes>
</file>

<file path=xl/drawings/drawing137.xml><?xml version="1.0" encoding="utf-8"?>
<c:userShapes xmlns:c="http://schemas.openxmlformats.org/drawingml/2006/chart">
  <cdr:relSizeAnchor xmlns:cdr="http://schemas.openxmlformats.org/drawingml/2006/chartDrawing">
    <cdr:from>
      <cdr:x>0.35163</cdr:x>
      <cdr:y>0.08192</cdr:y>
    </cdr:from>
    <cdr:to>
      <cdr:x>0.72107</cdr:x>
      <cdr:y>0.19064</cdr:y>
    </cdr:to>
    <cdr:sp macro="" textlink="">
      <cdr:nvSpPr>
        <cdr:cNvPr id="2" name="CaixaDeTexto 1"/>
        <cdr:cNvSpPr txBox="1"/>
      </cdr:nvSpPr>
      <cdr:spPr>
        <a:xfrm xmlns:a="http://schemas.openxmlformats.org/drawingml/2006/main">
          <a:off x="2257425" y="258366"/>
          <a:ext cx="2371725" cy="3429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pt-PT" sz="1100"/>
            <a:t>EQAr - Almoinhas</a:t>
          </a:r>
        </a:p>
      </cdr:txBody>
    </cdr:sp>
  </cdr:relSizeAnchor>
</c:userShapes>
</file>

<file path=xl/drawings/drawing138.xml><?xml version="1.0" encoding="utf-8"?>
<xdr:wsDr xmlns:xdr="http://schemas.openxmlformats.org/drawingml/2006/spreadsheetDrawing" xmlns:a="http://schemas.openxmlformats.org/drawingml/2006/main">
  <xdr:twoCellAnchor editAs="oneCell">
    <xdr:from>
      <xdr:col>1</xdr:col>
      <xdr:colOff>0</xdr:colOff>
      <xdr:row>28</xdr:row>
      <xdr:rowOff>0</xdr:rowOff>
    </xdr:from>
    <xdr:to>
      <xdr:col>1</xdr:col>
      <xdr:colOff>4483</xdr:colOff>
      <xdr:row>31</xdr:row>
      <xdr:rowOff>59341</xdr:rowOff>
    </xdr:to>
    <xdr:pic>
      <xdr:nvPicPr>
        <xdr:cNvPr id="2" name="Imagem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0025" y="5334000"/>
          <a:ext cx="4483" cy="630841"/>
        </a:xfrm>
        <a:prstGeom prst="rect">
          <a:avLst/>
        </a:prstGeom>
      </xdr:spPr>
    </xdr:pic>
    <xdr:clientData/>
  </xdr:twoCellAnchor>
  <xdr:twoCellAnchor>
    <xdr:from>
      <xdr:col>0</xdr:col>
      <xdr:colOff>0</xdr:colOff>
      <xdr:row>0</xdr:row>
      <xdr:rowOff>0</xdr:rowOff>
    </xdr:from>
    <xdr:to>
      <xdr:col>1</xdr:col>
      <xdr:colOff>445297</xdr:colOff>
      <xdr:row>1</xdr:row>
      <xdr:rowOff>171450</xdr:rowOff>
    </xdr:to>
    <xdr:sp macro="" textlink="">
      <xdr:nvSpPr>
        <xdr:cNvPr id="3" name="Bisel 2">
          <a:hlinkClick xmlns:r="http://schemas.openxmlformats.org/officeDocument/2006/relationships" r:id="rId2"/>
        </xdr:cNvPr>
        <xdr:cNvSpPr/>
      </xdr:nvSpPr>
      <xdr:spPr>
        <a:xfrm>
          <a:off x="0" y="0"/>
          <a:ext cx="645322" cy="36195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PT" sz="1100"/>
            <a:t>Index</a:t>
          </a:r>
        </a:p>
      </xdr:txBody>
    </xdr:sp>
    <xdr:clientData/>
  </xdr:twoCellAnchor>
</xdr:wsDr>
</file>

<file path=xl/drawings/drawing139.xml><?xml version="1.0" encoding="utf-8"?>
<xdr:wsDr xmlns:xdr="http://schemas.openxmlformats.org/drawingml/2006/spreadsheetDrawing" xmlns:a="http://schemas.openxmlformats.org/drawingml/2006/main">
  <xdr:twoCellAnchor editAs="oneCell">
    <xdr:from>
      <xdr:col>4</xdr:col>
      <xdr:colOff>609600</xdr:colOff>
      <xdr:row>20</xdr:row>
      <xdr:rowOff>85725</xdr:rowOff>
    </xdr:from>
    <xdr:to>
      <xdr:col>4</xdr:col>
      <xdr:colOff>480733</xdr:colOff>
      <xdr:row>23</xdr:row>
      <xdr:rowOff>145066</xdr:rowOff>
    </xdr:to>
    <xdr:pic>
      <xdr:nvPicPr>
        <xdr:cNvPr id="3" name="Imagem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00375" y="7705725"/>
          <a:ext cx="4483" cy="630841"/>
        </a:xfrm>
        <a:prstGeom prst="rect">
          <a:avLst/>
        </a:prstGeom>
      </xdr:spPr>
    </xdr:pic>
    <xdr:clientData/>
  </xdr:twoCellAnchor>
  <xdr:twoCellAnchor editAs="oneCell">
    <xdr:from>
      <xdr:col>3</xdr:col>
      <xdr:colOff>47625</xdr:colOff>
      <xdr:row>25</xdr:row>
      <xdr:rowOff>180976</xdr:rowOff>
    </xdr:from>
    <xdr:to>
      <xdr:col>3</xdr:col>
      <xdr:colOff>605118</xdr:colOff>
      <xdr:row>29</xdr:row>
      <xdr:rowOff>48968</xdr:rowOff>
    </xdr:to>
    <xdr:pic>
      <xdr:nvPicPr>
        <xdr:cNvPr id="4" name="Imagem 3" descr="http://www.infoescola.com/wp-content/uploads/2009/08/full-1-d9e96191be.jpg"/>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43075" y="8753476"/>
          <a:ext cx="557493" cy="6299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19050</xdr:rowOff>
    </xdr:from>
    <xdr:to>
      <xdr:col>1</xdr:col>
      <xdr:colOff>445297</xdr:colOff>
      <xdr:row>2</xdr:row>
      <xdr:rowOff>0</xdr:rowOff>
    </xdr:to>
    <xdr:sp macro="" textlink="">
      <xdr:nvSpPr>
        <xdr:cNvPr id="5" name="Bisel 4">
          <a:hlinkClick xmlns:r="http://schemas.openxmlformats.org/officeDocument/2006/relationships" r:id="rId3"/>
        </xdr:cNvPr>
        <xdr:cNvSpPr/>
      </xdr:nvSpPr>
      <xdr:spPr>
        <a:xfrm>
          <a:off x="0" y="19050"/>
          <a:ext cx="645322" cy="36195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PT" sz="1100"/>
            <a:t>Index</a:t>
          </a:r>
        </a:p>
      </xdr:txBody>
    </xdr:sp>
    <xdr:clientData/>
  </xdr:twoCellAnchor>
</xdr:wsDr>
</file>

<file path=xl/drawings/drawing14.xml><?xml version="1.0" encoding="utf-8"?>
<c:userShapes xmlns:c="http://schemas.openxmlformats.org/drawingml/2006/chart">
  <cdr:relSizeAnchor xmlns:cdr="http://schemas.openxmlformats.org/drawingml/2006/chartDrawing">
    <cdr:from>
      <cdr:x>0.66218</cdr:x>
      <cdr:y>0.32047</cdr:y>
    </cdr:from>
    <cdr:to>
      <cdr:x>0.86639</cdr:x>
      <cdr:y>0.47553</cdr:y>
    </cdr:to>
    <cdr:sp macro="" textlink="">
      <cdr:nvSpPr>
        <cdr:cNvPr id="2" name="CaixaDeTexto 1"/>
        <cdr:cNvSpPr txBox="1"/>
      </cdr:nvSpPr>
      <cdr:spPr>
        <a:xfrm xmlns:a="http://schemas.openxmlformats.org/drawingml/2006/main">
          <a:off x="3524624" y="532653"/>
          <a:ext cx="1086970" cy="25773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pt-PT" sz="1000">
              <a:solidFill>
                <a:schemeClr val="bg1"/>
              </a:solidFill>
            </a:rPr>
            <a:t>Tempo</a:t>
          </a:r>
          <a:r>
            <a:rPr lang="pt-PT" sz="1000" baseline="0">
              <a:solidFill>
                <a:schemeClr val="bg1"/>
              </a:solidFill>
            </a:rPr>
            <a:t> inactivo</a:t>
          </a:r>
        </a:p>
      </cdr:txBody>
    </cdr:sp>
  </cdr:relSizeAnchor>
  <cdr:relSizeAnchor xmlns:cdr="http://schemas.openxmlformats.org/drawingml/2006/chartDrawing">
    <cdr:from>
      <cdr:x>0.83381</cdr:x>
      <cdr:y>0.51598</cdr:y>
    </cdr:from>
    <cdr:to>
      <cdr:x>1</cdr:x>
      <cdr:y>0.70379</cdr:y>
    </cdr:to>
    <cdr:sp macro="" textlink="">
      <cdr:nvSpPr>
        <cdr:cNvPr id="3" name="CaixaDeTexto 1"/>
        <cdr:cNvSpPr txBox="1"/>
      </cdr:nvSpPr>
      <cdr:spPr>
        <a:xfrm xmlns:a="http://schemas.openxmlformats.org/drawingml/2006/main">
          <a:off x="4438150" y="857623"/>
          <a:ext cx="884613" cy="31214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r>
            <a:rPr lang="pt-PT" sz="900" baseline="0">
              <a:solidFill>
                <a:schemeClr val="bg1"/>
              </a:solidFill>
            </a:rPr>
            <a:t>Tempo activo</a:t>
          </a:r>
          <a:endParaRPr lang="pt-PT" sz="900">
            <a:solidFill>
              <a:schemeClr val="bg1"/>
            </a:solidFill>
          </a:endParaRPr>
        </a:p>
      </cdr:txBody>
    </cdr:sp>
  </cdr:relSizeAnchor>
</c:userShapes>
</file>

<file path=xl/drawings/drawing140.xml><?xml version="1.0" encoding="utf-8"?>
<xdr:wsDr xmlns:xdr="http://schemas.openxmlformats.org/drawingml/2006/spreadsheetDrawing" xmlns:a="http://schemas.openxmlformats.org/drawingml/2006/main">
  <xdr:twoCellAnchor>
    <xdr:from>
      <xdr:col>0</xdr:col>
      <xdr:colOff>323849</xdr:colOff>
      <xdr:row>3</xdr:row>
      <xdr:rowOff>71438</xdr:rowOff>
    </xdr:from>
    <xdr:to>
      <xdr:col>7</xdr:col>
      <xdr:colOff>361950</xdr:colOff>
      <xdr:row>15</xdr:row>
      <xdr:rowOff>123825</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304800</xdr:colOff>
      <xdr:row>16</xdr:row>
      <xdr:rowOff>66675</xdr:rowOff>
    </xdr:from>
    <xdr:to>
      <xdr:col>7</xdr:col>
      <xdr:colOff>342901</xdr:colOff>
      <xdr:row>28</xdr:row>
      <xdr:rowOff>119062</xdr:rowOff>
    </xdr:to>
    <xdr:graphicFrame macro="">
      <xdr:nvGraphicFramePr>
        <xdr:cNvPr id="5" name="Gráfico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542925</xdr:colOff>
      <xdr:row>3</xdr:row>
      <xdr:rowOff>76200</xdr:rowOff>
    </xdr:from>
    <xdr:to>
      <xdr:col>14</xdr:col>
      <xdr:colOff>581026</xdr:colOff>
      <xdr:row>14</xdr:row>
      <xdr:rowOff>90487</xdr:rowOff>
    </xdr:to>
    <xdr:graphicFrame macro="">
      <xdr:nvGraphicFramePr>
        <xdr:cNvPr id="6" name="Gráfico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542925</xdr:colOff>
      <xdr:row>14</xdr:row>
      <xdr:rowOff>152400</xdr:rowOff>
    </xdr:from>
    <xdr:to>
      <xdr:col>14</xdr:col>
      <xdr:colOff>581026</xdr:colOff>
      <xdr:row>27</xdr:row>
      <xdr:rowOff>14287</xdr:rowOff>
    </xdr:to>
    <xdr:graphicFrame macro="">
      <xdr:nvGraphicFramePr>
        <xdr:cNvPr id="7" name="Gráfico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533400</xdr:colOff>
      <xdr:row>27</xdr:row>
      <xdr:rowOff>95250</xdr:rowOff>
    </xdr:from>
    <xdr:to>
      <xdr:col>14</xdr:col>
      <xdr:colOff>571501</xdr:colOff>
      <xdr:row>39</xdr:row>
      <xdr:rowOff>147637</xdr:rowOff>
    </xdr:to>
    <xdr:graphicFrame macro="">
      <xdr:nvGraphicFramePr>
        <xdr:cNvPr id="8" name="Gráfico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15</xdr:col>
      <xdr:colOff>66675</xdr:colOff>
      <xdr:row>3</xdr:row>
      <xdr:rowOff>66675</xdr:rowOff>
    </xdr:from>
    <xdr:to>
      <xdr:col>22</xdr:col>
      <xdr:colOff>104776</xdr:colOff>
      <xdr:row>14</xdr:row>
      <xdr:rowOff>80962</xdr:rowOff>
    </xdr:to>
    <xdr:graphicFrame macro="">
      <xdr:nvGraphicFramePr>
        <xdr:cNvPr id="9" name="Gráfico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15</xdr:col>
      <xdr:colOff>57150</xdr:colOff>
      <xdr:row>14</xdr:row>
      <xdr:rowOff>161925</xdr:rowOff>
    </xdr:from>
    <xdr:to>
      <xdr:col>22</xdr:col>
      <xdr:colOff>95251</xdr:colOff>
      <xdr:row>27</xdr:row>
      <xdr:rowOff>23812</xdr:rowOff>
    </xdr:to>
    <xdr:graphicFrame macro="">
      <xdr:nvGraphicFramePr>
        <xdr:cNvPr id="10" name="Gráfico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0</xdr:colOff>
      <xdr:row>0</xdr:row>
      <xdr:rowOff>0</xdr:rowOff>
    </xdr:from>
    <xdr:to>
      <xdr:col>1</xdr:col>
      <xdr:colOff>38103</xdr:colOff>
      <xdr:row>1</xdr:row>
      <xdr:rowOff>171450</xdr:rowOff>
    </xdr:to>
    <xdr:sp macro="" textlink="">
      <xdr:nvSpPr>
        <xdr:cNvPr id="11" name="Bisel 10">
          <a:hlinkClick xmlns:r="http://schemas.openxmlformats.org/officeDocument/2006/relationships" r:id="rId8"/>
        </xdr:cNvPr>
        <xdr:cNvSpPr/>
      </xdr:nvSpPr>
      <xdr:spPr>
        <a:xfrm>
          <a:off x="0" y="0"/>
          <a:ext cx="645322" cy="36195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PT" sz="1100"/>
            <a:t>Index</a:t>
          </a:r>
        </a:p>
      </xdr:txBody>
    </xdr:sp>
    <xdr:clientData/>
  </xdr:twoCellAnchor>
</xdr:wsDr>
</file>

<file path=xl/drawings/drawing141.xml><?xml version="1.0" encoding="utf-8"?>
<xdr:wsDr xmlns:xdr="http://schemas.openxmlformats.org/drawingml/2006/spreadsheetDrawing" xmlns:a="http://schemas.openxmlformats.org/drawingml/2006/main">
  <xdr:twoCellAnchor>
    <xdr:from>
      <xdr:col>1</xdr:col>
      <xdr:colOff>57150</xdr:colOff>
      <xdr:row>24</xdr:row>
      <xdr:rowOff>142875</xdr:rowOff>
    </xdr:from>
    <xdr:to>
      <xdr:col>10</xdr:col>
      <xdr:colOff>361951</xdr:colOff>
      <xdr:row>38</xdr:row>
      <xdr:rowOff>42862</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39</xdr:row>
      <xdr:rowOff>0</xdr:rowOff>
    </xdr:from>
    <xdr:to>
      <xdr:col>10</xdr:col>
      <xdr:colOff>304801</xdr:colOff>
      <xdr:row>52</xdr:row>
      <xdr:rowOff>90487</xdr:rowOff>
    </xdr:to>
    <xdr:graphicFrame macro="">
      <xdr:nvGraphicFramePr>
        <xdr:cNvPr id="3"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53</xdr:row>
      <xdr:rowOff>0</xdr:rowOff>
    </xdr:from>
    <xdr:to>
      <xdr:col>10</xdr:col>
      <xdr:colOff>304801</xdr:colOff>
      <xdr:row>66</xdr:row>
      <xdr:rowOff>90487</xdr:rowOff>
    </xdr:to>
    <xdr:graphicFrame macro="">
      <xdr:nvGraphicFramePr>
        <xdr:cNvPr id="4" name="Gráfico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228600</xdr:colOff>
      <xdr:row>66</xdr:row>
      <xdr:rowOff>171450</xdr:rowOff>
    </xdr:from>
    <xdr:to>
      <xdr:col>10</xdr:col>
      <xdr:colOff>295276</xdr:colOff>
      <xdr:row>80</xdr:row>
      <xdr:rowOff>71437</xdr:rowOff>
    </xdr:to>
    <xdr:graphicFrame macro="">
      <xdr:nvGraphicFramePr>
        <xdr:cNvPr id="5" name="Gráfico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457200</xdr:colOff>
      <xdr:row>24</xdr:row>
      <xdr:rowOff>133350</xdr:rowOff>
    </xdr:from>
    <xdr:to>
      <xdr:col>17</xdr:col>
      <xdr:colOff>495301</xdr:colOff>
      <xdr:row>38</xdr:row>
      <xdr:rowOff>33337</xdr:rowOff>
    </xdr:to>
    <xdr:graphicFrame macro="">
      <xdr:nvGraphicFramePr>
        <xdr:cNvPr id="6" name="Gráfico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10</xdr:col>
      <xdr:colOff>466725</xdr:colOff>
      <xdr:row>53</xdr:row>
      <xdr:rowOff>0</xdr:rowOff>
    </xdr:from>
    <xdr:to>
      <xdr:col>17</xdr:col>
      <xdr:colOff>504826</xdr:colOff>
      <xdr:row>66</xdr:row>
      <xdr:rowOff>90487</xdr:rowOff>
    </xdr:to>
    <xdr:graphicFrame macro="">
      <xdr:nvGraphicFramePr>
        <xdr:cNvPr id="8" name="Gráfico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10</xdr:col>
      <xdr:colOff>457200</xdr:colOff>
      <xdr:row>66</xdr:row>
      <xdr:rowOff>171450</xdr:rowOff>
    </xdr:from>
    <xdr:to>
      <xdr:col>17</xdr:col>
      <xdr:colOff>495301</xdr:colOff>
      <xdr:row>80</xdr:row>
      <xdr:rowOff>71437</xdr:rowOff>
    </xdr:to>
    <xdr:graphicFrame macro="">
      <xdr:nvGraphicFramePr>
        <xdr:cNvPr id="9" name="Gráfico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10</xdr:col>
      <xdr:colOff>457200</xdr:colOff>
      <xdr:row>39</xdr:row>
      <xdr:rowOff>9525</xdr:rowOff>
    </xdr:from>
    <xdr:to>
      <xdr:col>17</xdr:col>
      <xdr:colOff>495301</xdr:colOff>
      <xdr:row>52</xdr:row>
      <xdr:rowOff>100012</xdr:rowOff>
    </xdr:to>
    <xdr:graphicFrame macro="">
      <xdr:nvGraphicFramePr>
        <xdr:cNvPr id="10" name="Gráfico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561975</xdr:colOff>
      <xdr:row>24</xdr:row>
      <xdr:rowOff>123825</xdr:rowOff>
    </xdr:from>
    <xdr:to>
      <xdr:col>24</xdr:col>
      <xdr:colOff>600076</xdr:colOff>
      <xdr:row>38</xdr:row>
      <xdr:rowOff>23812</xdr:rowOff>
    </xdr:to>
    <xdr:graphicFrame macro="">
      <xdr:nvGraphicFramePr>
        <xdr:cNvPr id="11" name="Gráfico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17</xdr:col>
      <xdr:colOff>571500</xdr:colOff>
      <xdr:row>52</xdr:row>
      <xdr:rowOff>180975</xdr:rowOff>
    </xdr:from>
    <xdr:to>
      <xdr:col>25</xdr:col>
      <xdr:colOff>1</xdr:colOff>
      <xdr:row>66</xdr:row>
      <xdr:rowOff>80962</xdr:rowOff>
    </xdr:to>
    <xdr:graphicFrame macro="">
      <xdr:nvGraphicFramePr>
        <xdr:cNvPr id="12" name="Gráfico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17</xdr:col>
      <xdr:colOff>561975</xdr:colOff>
      <xdr:row>66</xdr:row>
      <xdr:rowOff>161925</xdr:rowOff>
    </xdr:from>
    <xdr:to>
      <xdr:col>24</xdr:col>
      <xdr:colOff>600076</xdr:colOff>
      <xdr:row>80</xdr:row>
      <xdr:rowOff>61912</xdr:rowOff>
    </xdr:to>
    <xdr:graphicFrame macro="">
      <xdr:nvGraphicFramePr>
        <xdr:cNvPr id="13" name="Gráfico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561975</xdr:colOff>
      <xdr:row>39</xdr:row>
      <xdr:rowOff>0</xdr:rowOff>
    </xdr:from>
    <xdr:to>
      <xdr:col>24</xdr:col>
      <xdr:colOff>600076</xdr:colOff>
      <xdr:row>52</xdr:row>
      <xdr:rowOff>90487</xdr:rowOff>
    </xdr:to>
    <xdr:graphicFrame macro="">
      <xdr:nvGraphicFramePr>
        <xdr:cNvPr id="14" name="Gráfico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17</xdr:col>
      <xdr:colOff>561975</xdr:colOff>
      <xdr:row>80</xdr:row>
      <xdr:rowOff>123825</xdr:rowOff>
    </xdr:from>
    <xdr:to>
      <xdr:col>24</xdr:col>
      <xdr:colOff>600076</xdr:colOff>
      <xdr:row>94</xdr:row>
      <xdr:rowOff>23812</xdr:rowOff>
    </xdr:to>
    <xdr:graphicFrame macro="">
      <xdr:nvGraphicFramePr>
        <xdr:cNvPr id="15" name="Gráfico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17</xdr:col>
      <xdr:colOff>561975</xdr:colOff>
      <xdr:row>94</xdr:row>
      <xdr:rowOff>66675</xdr:rowOff>
    </xdr:from>
    <xdr:to>
      <xdr:col>24</xdr:col>
      <xdr:colOff>600076</xdr:colOff>
      <xdr:row>107</xdr:row>
      <xdr:rowOff>157162</xdr:rowOff>
    </xdr:to>
    <xdr:graphicFrame macro="">
      <xdr:nvGraphicFramePr>
        <xdr:cNvPr id="16" name="Gráfico 1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25</xdr:col>
      <xdr:colOff>38100</xdr:colOff>
      <xdr:row>24</xdr:row>
      <xdr:rowOff>114300</xdr:rowOff>
    </xdr:from>
    <xdr:to>
      <xdr:col>32</xdr:col>
      <xdr:colOff>76201</xdr:colOff>
      <xdr:row>38</xdr:row>
      <xdr:rowOff>14287</xdr:rowOff>
    </xdr:to>
    <xdr:graphicFrame macro="">
      <xdr:nvGraphicFramePr>
        <xdr:cNvPr id="17" name="Gráfico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25</xdr:col>
      <xdr:colOff>47625</xdr:colOff>
      <xdr:row>39</xdr:row>
      <xdr:rowOff>0</xdr:rowOff>
    </xdr:from>
    <xdr:to>
      <xdr:col>32</xdr:col>
      <xdr:colOff>85726</xdr:colOff>
      <xdr:row>52</xdr:row>
      <xdr:rowOff>90487</xdr:rowOff>
    </xdr:to>
    <xdr:graphicFrame macro="">
      <xdr:nvGraphicFramePr>
        <xdr:cNvPr id="18" name="Gráfico 1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25</xdr:col>
      <xdr:colOff>66675</xdr:colOff>
      <xdr:row>52</xdr:row>
      <xdr:rowOff>152400</xdr:rowOff>
    </xdr:from>
    <xdr:to>
      <xdr:col>32</xdr:col>
      <xdr:colOff>104776</xdr:colOff>
      <xdr:row>66</xdr:row>
      <xdr:rowOff>52387</xdr:rowOff>
    </xdr:to>
    <xdr:graphicFrame macro="">
      <xdr:nvGraphicFramePr>
        <xdr:cNvPr id="19" name="Gráfico 1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25</xdr:col>
      <xdr:colOff>57150</xdr:colOff>
      <xdr:row>66</xdr:row>
      <xdr:rowOff>161925</xdr:rowOff>
    </xdr:from>
    <xdr:to>
      <xdr:col>32</xdr:col>
      <xdr:colOff>95251</xdr:colOff>
      <xdr:row>80</xdr:row>
      <xdr:rowOff>61912</xdr:rowOff>
    </xdr:to>
    <xdr:graphicFrame macro="">
      <xdr:nvGraphicFramePr>
        <xdr:cNvPr id="20" name="Gráfico 1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32</xdr:col>
      <xdr:colOff>161925</xdr:colOff>
      <xdr:row>24</xdr:row>
      <xdr:rowOff>114300</xdr:rowOff>
    </xdr:from>
    <xdr:to>
      <xdr:col>39</xdr:col>
      <xdr:colOff>200026</xdr:colOff>
      <xdr:row>38</xdr:row>
      <xdr:rowOff>14287</xdr:rowOff>
    </xdr:to>
    <xdr:graphicFrame macro="">
      <xdr:nvGraphicFramePr>
        <xdr:cNvPr id="24" name="Gráfico 2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32</xdr:col>
      <xdr:colOff>171450</xdr:colOff>
      <xdr:row>39</xdr:row>
      <xdr:rowOff>0</xdr:rowOff>
    </xdr:from>
    <xdr:to>
      <xdr:col>39</xdr:col>
      <xdr:colOff>209551</xdr:colOff>
      <xdr:row>52</xdr:row>
      <xdr:rowOff>90487</xdr:rowOff>
    </xdr:to>
    <xdr:graphicFrame macro="">
      <xdr:nvGraphicFramePr>
        <xdr:cNvPr id="25" name="Gráfico 2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32</xdr:col>
      <xdr:colOff>190500</xdr:colOff>
      <xdr:row>52</xdr:row>
      <xdr:rowOff>152400</xdr:rowOff>
    </xdr:from>
    <xdr:to>
      <xdr:col>39</xdr:col>
      <xdr:colOff>228601</xdr:colOff>
      <xdr:row>66</xdr:row>
      <xdr:rowOff>52387</xdr:rowOff>
    </xdr:to>
    <xdr:graphicFrame macro="">
      <xdr:nvGraphicFramePr>
        <xdr:cNvPr id="26" name="Gráfico 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32</xdr:col>
      <xdr:colOff>180975</xdr:colOff>
      <xdr:row>66</xdr:row>
      <xdr:rowOff>161925</xdr:rowOff>
    </xdr:from>
    <xdr:to>
      <xdr:col>39</xdr:col>
      <xdr:colOff>219076</xdr:colOff>
      <xdr:row>80</xdr:row>
      <xdr:rowOff>61912</xdr:rowOff>
    </xdr:to>
    <xdr:graphicFrame macro="">
      <xdr:nvGraphicFramePr>
        <xdr:cNvPr id="27" name="Gráfico 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32</xdr:col>
      <xdr:colOff>180975</xdr:colOff>
      <xdr:row>80</xdr:row>
      <xdr:rowOff>114300</xdr:rowOff>
    </xdr:from>
    <xdr:to>
      <xdr:col>39</xdr:col>
      <xdr:colOff>219076</xdr:colOff>
      <xdr:row>94</xdr:row>
      <xdr:rowOff>14287</xdr:rowOff>
    </xdr:to>
    <xdr:graphicFrame macro="">
      <xdr:nvGraphicFramePr>
        <xdr:cNvPr id="28" name="Gráfico 2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39</xdr:col>
      <xdr:colOff>299358</xdr:colOff>
      <xdr:row>24</xdr:row>
      <xdr:rowOff>108857</xdr:rowOff>
    </xdr:from>
    <xdr:to>
      <xdr:col>46</xdr:col>
      <xdr:colOff>337459</xdr:colOff>
      <xdr:row>38</xdr:row>
      <xdr:rowOff>8844</xdr:rowOff>
    </xdr:to>
    <xdr:graphicFrame macro="">
      <xdr:nvGraphicFramePr>
        <xdr:cNvPr id="29" name="Gráfico 2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39</xdr:col>
      <xdr:colOff>312964</xdr:colOff>
      <xdr:row>38</xdr:row>
      <xdr:rowOff>176893</xdr:rowOff>
    </xdr:from>
    <xdr:to>
      <xdr:col>46</xdr:col>
      <xdr:colOff>351065</xdr:colOff>
      <xdr:row>52</xdr:row>
      <xdr:rowOff>76880</xdr:rowOff>
    </xdr:to>
    <xdr:graphicFrame macro="">
      <xdr:nvGraphicFramePr>
        <xdr:cNvPr id="30" name="Gráfico 2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39</xdr:col>
      <xdr:colOff>312964</xdr:colOff>
      <xdr:row>52</xdr:row>
      <xdr:rowOff>149679</xdr:rowOff>
    </xdr:from>
    <xdr:to>
      <xdr:col>46</xdr:col>
      <xdr:colOff>351065</xdr:colOff>
      <xdr:row>66</xdr:row>
      <xdr:rowOff>49666</xdr:rowOff>
    </xdr:to>
    <xdr:graphicFrame macro="">
      <xdr:nvGraphicFramePr>
        <xdr:cNvPr id="31" name="Gráfico 3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39</xdr:col>
      <xdr:colOff>312965</xdr:colOff>
      <xdr:row>66</xdr:row>
      <xdr:rowOff>149679</xdr:rowOff>
    </xdr:from>
    <xdr:to>
      <xdr:col>46</xdr:col>
      <xdr:colOff>351066</xdr:colOff>
      <xdr:row>80</xdr:row>
      <xdr:rowOff>49666</xdr:rowOff>
    </xdr:to>
    <xdr:graphicFrame macro="">
      <xdr:nvGraphicFramePr>
        <xdr:cNvPr id="32" name="Gráfico 3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46</xdr:col>
      <xdr:colOff>435429</xdr:colOff>
      <xdr:row>24</xdr:row>
      <xdr:rowOff>108857</xdr:rowOff>
    </xdr:from>
    <xdr:to>
      <xdr:col>53</xdr:col>
      <xdr:colOff>473530</xdr:colOff>
      <xdr:row>38</xdr:row>
      <xdr:rowOff>8844</xdr:rowOff>
    </xdr:to>
    <xdr:graphicFrame macro="">
      <xdr:nvGraphicFramePr>
        <xdr:cNvPr id="33" name="Gráfico 3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46</xdr:col>
      <xdr:colOff>449035</xdr:colOff>
      <xdr:row>38</xdr:row>
      <xdr:rowOff>176893</xdr:rowOff>
    </xdr:from>
    <xdr:to>
      <xdr:col>53</xdr:col>
      <xdr:colOff>487136</xdr:colOff>
      <xdr:row>52</xdr:row>
      <xdr:rowOff>76880</xdr:rowOff>
    </xdr:to>
    <xdr:graphicFrame macro="">
      <xdr:nvGraphicFramePr>
        <xdr:cNvPr id="34" name="Gráfico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46</xdr:col>
      <xdr:colOff>449035</xdr:colOff>
      <xdr:row>52</xdr:row>
      <xdr:rowOff>149679</xdr:rowOff>
    </xdr:from>
    <xdr:to>
      <xdr:col>53</xdr:col>
      <xdr:colOff>487136</xdr:colOff>
      <xdr:row>66</xdr:row>
      <xdr:rowOff>49666</xdr:rowOff>
    </xdr:to>
    <xdr:graphicFrame macro="">
      <xdr:nvGraphicFramePr>
        <xdr:cNvPr id="35" name="Gráfico 3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46</xdr:col>
      <xdr:colOff>449036</xdr:colOff>
      <xdr:row>66</xdr:row>
      <xdr:rowOff>149679</xdr:rowOff>
    </xdr:from>
    <xdr:to>
      <xdr:col>53</xdr:col>
      <xdr:colOff>487137</xdr:colOff>
      <xdr:row>80</xdr:row>
      <xdr:rowOff>49666</xdr:rowOff>
    </xdr:to>
    <xdr:graphicFrame macro="">
      <xdr:nvGraphicFramePr>
        <xdr:cNvPr id="36" name="Gráfico 3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46</xdr:col>
      <xdr:colOff>449035</xdr:colOff>
      <xdr:row>80</xdr:row>
      <xdr:rowOff>122464</xdr:rowOff>
    </xdr:from>
    <xdr:to>
      <xdr:col>53</xdr:col>
      <xdr:colOff>487136</xdr:colOff>
      <xdr:row>94</xdr:row>
      <xdr:rowOff>22451</xdr:rowOff>
    </xdr:to>
    <xdr:graphicFrame macro="">
      <xdr:nvGraphicFramePr>
        <xdr:cNvPr id="37" name="Gráfico 3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0</xdr:col>
      <xdr:colOff>0</xdr:colOff>
      <xdr:row>0</xdr:row>
      <xdr:rowOff>0</xdr:rowOff>
    </xdr:from>
    <xdr:to>
      <xdr:col>1</xdr:col>
      <xdr:colOff>400393</xdr:colOff>
      <xdr:row>1</xdr:row>
      <xdr:rowOff>171450</xdr:rowOff>
    </xdr:to>
    <xdr:sp macro="" textlink="">
      <xdr:nvSpPr>
        <xdr:cNvPr id="38" name="Bisel 37">
          <a:hlinkClick xmlns:r="http://schemas.openxmlformats.org/officeDocument/2006/relationships" r:id="rId33"/>
        </xdr:cNvPr>
        <xdr:cNvSpPr/>
      </xdr:nvSpPr>
      <xdr:spPr>
        <a:xfrm>
          <a:off x="0" y="0"/>
          <a:ext cx="645322" cy="36195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PT" sz="1100"/>
            <a:t>Index</a:t>
          </a:r>
        </a:p>
      </xdr:txBody>
    </xdr:sp>
    <xdr:clientData/>
  </xdr:twoCellAnchor>
</xdr:wsDr>
</file>

<file path=xl/drawings/drawing15.xml><?xml version="1.0" encoding="utf-8"?>
<c:userShapes xmlns:c="http://schemas.openxmlformats.org/drawingml/2006/chart">
  <cdr:relSizeAnchor xmlns:cdr="http://schemas.openxmlformats.org/drawingml/2006/chartDrawing">
    <cdr:from>
      <cdr:x>0.83381</cdr:x>
      <cdr:y>0.50924</cdr:y>
    </cdr:from>
    <cdr:to>
      <cdr:x>1</cdr:x>
      <cdr:y>0.69704</cdr:y>
    </cdr:to>
    <cdr:sp macro="" textlink="">
      <cdr:nvSpPr>
        <cdr:cNvPr id="2" name="CaixaDeTexto 1"/>
        <cdr:cNvSpPr txBox="1"/>
      </cdr:nvSpPr>
      <cdr:spPr>
        <a:xfrm xmlns:a="http://schemas.openxmlformats.org/drawingml/2006/main">
          <a:off x="4438150" y="846418"/>
          <a:ext cx="884613" cy="31214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r>
            <a:rPr lang="pt-PT" sz="900" baseline="0">
              <a:solidFill>
                <a:schemeClr val="bg1"/>
              </a:solidFill>
            </a:rPr>
            <a:t>Tempo activo</a:t>
          </a:r>
          <a:endParaRPr lang="pt-PT" sz="900">
            <a:solidFill>
              <a:schemeClr val="bg1"/>
            </a:solidFill>
          </a:endParaRPr>
        </a:p>
      </cdr:txBody>
    </cdr:sp>
  </cdr:relSizeAnchor>
  <cdr:relSizeAnchor xmlns:cdr="http://schemas.openxmlformats.org/drawingml/2006/chartDrawing">
    <cdr:from>
      <cdr:x>0.66007</cdr:x>
      <cdr:y>0.31373</cdr:y>
    </cdr:from>
    <cdr:to>
      <cdr:x>0.86429</cdr:x>
      <cdr:y>0.46879</cdr:y>
    </cdr:to>
    <cdr:sp macro="" textlink="">
      <cdr:nvSpPr>
        <cdr:cNvPr id="3" name="CaixaDeTexto 1"/>
        <cdr:cNvSpPr txBox="1"/>
      </cdr:nvSpPr>
      <cdr:spPr>
        <a:xfrm xmlns:a="http://schemas.openxmlformats.org/drawingml/2006/main">
          <a:off x="3513418" y="521447"/>
          <a:ext cx="1086970" cy="25773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pt-PT" sz="1000">
              <a:solidFill>
                <a:schemeClr val="bg1"/>
              </a:solidFill>
            </a:rPr>
            <a:t>Tempo</a:t>
          </a:r>
          <a:r>
            <a:rPr lang="pt-PT" sz="1000" baseline="0">
              <a:solidFill>
                <a:schemeClr val="bg1"/>
              </a:solidFill>
            </a:rPr>
            <a:t> inactivo</a:t>
          </a:r>
        </a:p>
      </cdr:txBody>
    </cdr:sp>
  </cdr:relSizeAnchor>
</c:userShapes>
</file>

<file path=xl/drawings/drawing16.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645322</xdr:colOff>
      <xdr:row>1</xdr:row>
      <xdr:rowOff>95250</xdr:rowOff>
    </xdr:to>
    <xdr:sp macro="" textlink="">
      <xdr:nvSpPr>
        <xdr:cNvPr id="3" name="Bisel 2">
          <a:hlinkClick xmlns:r="http://schemas.openxmlformats.org/officeDocument/2006/relationships" r:id="rId1"/>
        </xdr:cNvPr>
        <xdr:cNvSpPr/>
      </xdr:nvSpPr>
      <xdr:spPr>
        <a:xfrm>
          <a:off x="0" y="0"/>
          <a:ext cx="645322" cy="36195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PT" sz="1100"/>
            <a:t>Index</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190500</xdr:colOff>
      <xdr:row>24</xdr:row>
      <xdr:rowOff>180974</xdr:rowOff>
    </xdr:from>
    <xdr:to>
      <xdr:col>9</xdr:col>
      <xdr:colOff>9525</xdr:colOff>
      <xdr:row>39</xdr:row>
      <xdr:rowOff>38099</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342899</xdr:colOff>
      <xdr:row>1</xdr:row>
      <xdr:rowOff>0</xdr:rowOff>
    </xdr:from>
    <xdr:to>
      <xdr:col>14</xdr:col>
      <xdr:colOff>409575</xdr:colOff>
      <xdr:row>7</xdr:row>
      <xdr:rowOff>66675</xdr:rowOff>
    </xdr:to>
    <xdr:graphicFrame macro="">
      <xdr:nvGraphicFramePr>
        <xdr:cNvPr id="3"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342900</xdr:colOff>
      <xdr:row>7</xdr:row>
      <xdr:rowOff>142876</xdr:rowOff>
    </xdr:from>
    <xdr:to>
      <xdr:col>14</xdr:col>
      <xdr:colOff>409575</xdr:colOff>
      <xdr:row>14</xdr:row>
      <xdr:rowOff>180976</xdr:rowOff>
    </xdr:to>
    <xdr:graphicFrame macro="">
      <xdr:nvGraphicFramePr>
        <xdr:cNvPr id="4" name="Gráfico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342900</xdr:colOff>
      <xdr:row>15</xdr:row>
      <xdr:rowOff>57150</xdr:rowOff>
    </xdr:from>
    <xdr:to>
      <xdr:col>14</xdr:col>
      <xdr:colOff>409575</xdr:colOff>
      <xdr:row>22</xdr:row>
      <xdr:rowOff>47625</xdr:rowOff>
    </xdr:to>
    <xdr:graphicFrame macro="">
      <xdr:nvGraphicFramePr>
        <xdr:cNvPr id="5" name="Gráfico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xdr:col>
      <xdr:colOff>352425</xdr:colOff>
      <xdr:row>22</xdr:row>
      <xdr:rowOff>123826</xdr:rowOff>
    </xdr:from>
    <xdr:to>
      <xdr:col>14</xdr:col>
      <xdr:colOff>409575</xdr:colOff>
      <xdr:row>28</xdr:row>
      <xdr:rowOff>142876</xdr:rowOff>
    </xdr:to>
    <xdr:graphicFrame macro="">
      <xdr:nvGraphicFramePr>
        <xdr:cNvPr id="6" name="Gráfico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342900</xdr:colOff>
      <xdr:row>29</xdr:row>
      <xdr:rowOff>47625</xdr:rowOff>
    </xdr:from>
    <xdr:to>
      <xdr:col>14</xdr:col>
      <xdr:colOff>390525</xdr:colOff>
      <xdr:row>36</xdr:row>
      <xdr:rowOff>57150</xdr:rowOff>
    </xdr:to>
    <xdr:graphicFrame macro="">
      <xdr:nvGraphicFramePr>
        <xdr:cNvPr id="7" name="Gráfico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0</xdr:row>
      <xdr:rowOff>0</xdr:rowOff>
    </xdr:from>
    <xdr:to>
      <xdr:col>1</xdr:col>
      <xdr:colOff>445297</xdr:colOff>
      <xdr:row>1</xdr:row>
      <xdr:rowOff>171450</xdr:rowOff>
    </xdr:to>
    <xdr:sp macro="" textlink="">
      <xdr:nvSpPr>
        <xdr:cNvPr id="9" name="Bisel 8">
          <a:hlinkClick xmlns:r="http://schemas.openxmlformats.org/officeDocument/2006/relationships" r:id="rId7"/>
        </xdr:cNvPr>
        <xdr:cNvSpPr/>
      </xdr:nvSpPr>
      <xdr:spPr>
        <a:xfrm>
          <a:off x="0" y="0"/>
          <a:ext cx="645322" cy="36195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PT" sz="1100"/>
            <a:t>Index</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445297</xdr:colOff>
      <xdr:row>1</xdr:row>
      <xdr:rowOff>171450</xdr:rowOff>
    </xdr:to>
    <xdr:sp macro="" textlink="">
      <xdr:nvSpPr>
        <xdr:cNvPr id="2" name="Bisel 1">
          <a:hlinkClick xmlns:r="http://schemas.openxmlformats.org/officeDocument/2006/relationships" r:id="rId1"/>
        </xdr:cNvPr>
        <xdr:cNvSpPr/>
      </xdr:nvSpPr>
      <xdr:spPr>
        <a:xfrm>
          <a:off x="0" y="0"/>
          <a:ext cx="645322" cy="36195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PT" sz="1100"/>
            <a:t>Index</a:t>
          </a:r>
        </a:p>
      </xdr:txBody>
    </xdr:sp>
    <xdr:clientData/>
  </xdr:twoCellAnchor>
  <xdr:twoCellAnchor editAs="oneCell">
    <xdr:from>
      <xdr:col>4</xdr:col>
      <xdr:colOff>609600</xdr:colOff>
      <xdr:row>36</xdr:row>
      <xdr:rowOff>85725</xdr:rowOff>
    </xdr:from>
    <xdr:to>
      <xdr:col>5</xdr:col>
      <xdr:colOff>333375</xdr:colOff>
      <xdr:row>39</xdr:row>
      <xdr:rowOff>145066</xdr:rowOff>
    </xdr:to>
    <xdr:pic>
      <xdr:nvPicPr>
        <xdr:cNvPr id="3" name="Imagem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000375" y="7134225"/>
          <a:ext cx="1057275" cy="630841"/>
        </a:xfrm>
        <a:prstGeom prst="rect">
          <a:avLst/>
        </a:prstGeom>
      </xdr:spPr>
    </xdr:pic>
    <xdr:clientData/>
  </xdr:twoCellAnchor>
  <xdr:twoCellAnchor editAs="oneCell">
    <xdr:from>
      <xdr:col>3</xdr:col>
      <xdr:colOff>47625</xdr:colOff>
      <xdr:row>41</xdr:row>
      <xdr:rowOff>180976</xdr:rowOff>
    </xdr:from>
    <xdr:to>
      <xdr:col>4</xdr:col>
      <xdr:colOff>209550</xdr:colOff>
      <xdr:row>45</xdr:row>
      <xdr:rowOff>48968</xdr:rowOff>
    </xdr:to>
    <xdr:pic>
      <xdr:nvPicPr>
        <xdr:cNvPr id="4" name="Imagem 3" descr="http://www.infoescola.com/wp-content/uploads/2009/08/full-1-d9e96191be.jpg"/>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743075" y="8181976"/>
          <a:ext cx="857250" cy="6299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xdr:from>
      <xdr:col>10</xdr:col>
      <xdr:colOff>285750</xdr:colOff>
      <xdr:row>4</xdr:row>
      <xdr:rowOff>76200</xdr:rowOff>
    </xdr:from>
    <xdr:to>
      <xdr:col>18</xdr:col>
      <xdr:colOff>381000</xdr:colOff>
      <xdr:row>12</xdr:row>
      <xdr:rowOff>100853</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19</xdr:col>
      <xdr:colOff>14287</xdr:colOff>
      <xdr:row>4</xdr:row>
      <xdr:rowOff>61912</xdr:rowOff>
    </xdr:from>
    <xdr:to>
      <xdr:col>27</xdr:col>
      <xdr:colOff>470647</xdr:colOff>
      <xdr:row>12</xdr:row>
      <xdr:rowOff>89647</xdr:rowOff>
    </xdr:to>
    <xdr:graphicFrame macro="">
      <xdr:nvGraphicFramePr>
        <xdr:cNvPr id="3"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0</xdr:row>
      <xdr:rowOff>0</xdr:rowOff>
    </xdr:from>
    <xdr:to>
      <xdr:col>0</xdr:col>
      <xdr:colOff>645322</xdr:colOff>
      <xdr:row>1</xdr:row>
      <xdr:rowOff>171450</xdr:rowOff>
    </xdr:to>
    <xdr:sp macro="" textlink="">
      <xdr:nvSpPr>
        <xdr:cNvPr id="12" name="Bisel 11">
          <a:hlinkClick xmlns:r="http://schemas.openxmlformats.org/officeDocument/2006/relationships" r:id="rId3"/>
        </xdr:cNvPr>
        <xdr:cNvSpPr/>
      </xdr:nvSpPr>
      <xdr:spPr>
        <a:xfrm>
          <a:off x="0" y="0"/>
          <a:ext cx="645322" cy="36195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PT" sz="1100"/>
            <a:t>Index</a:t>
          </a:r>
        </a:p>
      </xdr:txBody>
    </xdr:sp>
    <xdr:clientData/>
  </xdr:twoCellAnchor>
  <xdr:twoCellAnchor>
    <xdr:from>
      <xdr:col>19</xdr:col>
      <xdr:colOff>11907</xdr:colOff>
      <xdr:row>13</xdr:row>
      <xdr:rowOff>23813</xdr:rowOff>
    </xdr:from>
    <xdr:to>
      <xdr:col>27</xdr:col>
      <xdr:colOff>468267</xdr:colOff>
      <xdr:row>21</xdr:row>
      <xdr:rowOff>51548</xdr:rowOff>
    </xdr:to>
    <xdr:graphicFrame macro="">
      <xdr:nvGraphicFramePr>
        <xdr:cNvPr id="14" name="Gráfico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19</xdr:col>
      <xdr:colOff>23813</xdr:colOff>
      <xdr:row>22</xdr:row>
      <xdr:rowOff>0</xdr:rowOff>
    </xdr:from>
    <xdr:to>
      <xdr:col>27</xdr:col>
      <xdr:colOff>456360</xdr:colOff>
      <xdr:row>30</xdr:row>
      <xdr:rowOff>23813</xdr:rowOff>
    </xdr:to>
    <xdr:graphicFrame macro="">
      <xdr:nvGraphicFramePr>
        <xdr:cNvPr id="15" name="Gráfico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28</xdr:col>
      <xdr:colOff>23812</xdr:colOff>
      <xdr:row>4</xdr:row>
      <xdr:rowOff>47625</xdr:rowOff>
    </xdr:from>
    <xdr:to>
      <xdr:col>36</xdr:col>
      <xdr:colOff>480172</xdr:colOff>
      <xdr:row>12</xdr:row>
      <xdr:rowOff>75360</xdr:rowOff>
    </xdr:to>
    <xdr:graphicFrame macro="">
      <xdr:nvGraphicFramePr>
        <xdr:cNvPr id="16" name="Gráfico 1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28</xdr:col>
      <xdr:colOff>35719</xdr:colOff>
      <xdr:row>12</xdr:row>
      <xdr:rowOff>178593</xdr:rowOff>
    </xdr:from>
    <xdr:to>
      <xdr:col>36</xdr:col>
      <xdr:colOff>492079</xdr:colOff>
      <xdr:row>21</xdr:row>
      <xdr:rowOff>15828</xdr:rowOff>
    </xdr:to>
    <xdr:graphicFrame macro="">
      <xdr:nvGraphicFramePr>
        <xdr:cNvPr id="17" name="Gráfico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37</xdr:col>
      <xdr:colOff>0</xdr:colOff>
      <xdr:row>4</xdr:row>
      <xdr:rowOff>47625</xdr:rowOff>
    </xdr:from>
    <xdr:to>
      <xdr:col>45</xdr:col>
      <xdr:colOff>373016</xdr:colOff>
      <xdr:row>12</xdr:row>
      <xdr:rowOff>75360</xdr:rowOff>
    </xdr:to>
    <xdr:graphicFrame macro="">
      <xdr:nvGraphicFramePr>
        <xdr:cNvPr id="19" name="Gráfico 1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37</xdr:col>
      <xdr:colOff>59531</xdr:colOff>
      <xdr:row>12</xdr:row>
      <xdr:rowOff>178595</xdr:rowOff>
    </xdr:from>
    <xdr:to>
      <xdr:col>45</xdr:col>
      <xdr:colOff>381000</xdr:colOff>
      <xdr:row>20</xdr:row>
      <xdr:rowOff>178594</xdr:rowOff>
    </xdr:to>
    <xdr:graphicFrame macro="">
      <xdr:nvGraphicFramePr>
        <xdr:cNvPr id="20" name="Gráfico 1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37</xdr:col>
      <xdr:colOff>59531</xdr:colOff>
      <xdr:row>22</xdr:row>
      <xdr:rowOff>0</xdr:rowOff>
    </xdr:from>
    <xdr:to>
      <xdr:col>45</xdr:col>
      <xdr:colOff>373016</xdr:colOff>
      <xdr:row>30</xdr:row>
      <xdr:rowOff>35719</xdr:rowOff>
    </xdr:to>
    <xdr:graphicFrame macro="">
      <xdr:nvGraphicFramePr>
        <xdr:cNvPr id="21" name="Gráfico 2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37</xdr:col>
      <xdr:colOff>59531</xdr:colOff>
      <xdr:row>31</xdr:row>
      <xdr:rowOff>1</xdr:rowOff>
    </xdr:from>
    <xdr:to>
      <xdr:col>45</xdr:col>
      <xdr:colOff>373016</xdr:colOff>
      <xdr:row>39</xdr:row>
      <xdr:rowOff>11907</xdr:rowOff>
    </xdr:to>
    <xdr:graphicFrame macro="">
      <xdr:nvGraphicFramePr>
        <xdr:cNvPr id="22" name="Gráfico 2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645322</xdr:colOff>
      <xdr:row>1</xdr:row>
      <xdr:rowOff>95250</xdr:rowOff>
    </xdr:to>
    <xdr:sp macro="" textlink="">
      <xdr:nvSpPr>
        <xdr:cNvPr id="4" name="Bisel 3">
          <a:hlinkClick xmlns:r="http://schemas.openxmlformats.org/officeDocument/2006/relationships" r:id="rId1"/>
        </xdr:cNvPr>
        <xdr:cNvSpPr/>
      </xdr:nvSpPr>
      <xdr:spPr>
        <a:xfrm>
          <a:off x="0" y="0"/>
          <a:ext cx="645322" cy="36195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PT" sz="1100"/>
            <a:t>Index</a:t>
          </a:r>
        </a:p>
      </xdr:txBody>
    </xdr:sp>
    <xdr:clientData/>
  </xdr:twoCellAnchor>
</xdr:wsDr>
</file>

<file path=xl/drawings/drawing20.xml><?xml version="1.0" encoding="utf-8"?>
<c:userShapes xmlns:c="http://schemas.openxmlformats.org/drawingml/2006/chart">
  <cdr:relSizeAnchor xmlns:cdr="http://schemas.openxmlformats.org/drawingml/2006/chartDrawing">
    <cdr:from>
      <cdr:x>0.56053</cdr:x>
      <cdr:y>0.315</cdr:y>
    </cdr:from>
    <cdr:to>
      <cdr:x>0.76453</cdr:x>
      <cdr:y>0.48143</cdr:y>
    </cdr:to>
    <cdr:sp macro="" textlink="">
      <cdr:nvSpPr>
        <cdr:cNvPr id="2" name="CaixaDeTexto 1"/>
        <cdr:cNvSpPr txBox="1"/>
      </cdr:nvSpPr>
      <cdr:spPr>
        <a:xfrm xmlns:a="http://schemas.openxmlformats.org/drawingml/2006/main">
          <a:off x="2986741" y="487829"/>
          <a:ext cx="1086970" cy="25773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pt-PT" sz="1000">
              <a:solidFill>
                <a:schemeClr val="bg1"/>
              </a:solidFill>
            </a:rPr>
            <a:t>Tempo</a:t>
          </a:r>
          <a:r>
            <a:rPr lang="pt-PT" sz="1000" baseline="0">
              <a:solidFill>
                <a:schemeClr val="bg1"/>
              </a:solidFill>
            </a:rPr>
            <a:t> inactivo</a:t>
          </a:r>
        </a:p>
      </cdr:txBody>
    </cdr:sp>
  </cdr:relSizeAnchor>
  <cdr:relSizeAnchor xmlns:cdr="http://schemas.openxmlformats.org/drawingml/2006/chartDrawing">
    <cdr:from>
      <cdr:x>0.8633</cdr:x>
      <cdr:y>0.47419</cdr:y>
    </cdr:from>
    <cdr:to>
      <cdr:x>0.99579</cdr:x>
      <cdr:y>0.60926</cdr:y>
    </cdr:to>
    <cdr:sp macro="" textlink="">
      <cdr:nvSpPr>
        <cdr:cNvPr id="3" name="CaixaDeTexto 1"/>
        <cdr:cNvSpPr txBox="1"/>
      </cdr:nvSpPr>
      <cdr:spPr>
        <a:xfrm xmlns:a="http://schemas.openxmlformats.org/drawingml/2006/main">
          <a:off x="4600013" y="734359"/>
          <a:ext cx="705971" cy="20917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pt-PT" sz="1000" baseline="0">
              <a:solidFill>
                <a:schemeClr val="bg1"/>
              </a:solidFill>
            </a:rPr>
            <a:t>Tempo activo</a:t>
          </a:r>
          <a:endParaRPr lang="pt-PT" sz="1000">
            <a:solidFill>
              <a:schemeClr val="bg1"/>
            </a:solidFill>
          </a:endParaRPr>
        </a:p>
      </cdr:txBody>
    </cdr:sp>
  </cdr:relSizeAnchor>
</c:userShapes>
</file>

<file path=xl/drawings/drawing21.xml><?xml version="1.0" encoding="utf-8"?>
<c:userShapes xmlns:c="http://schemas.openxmlformats.org/drawingml/2006/chart">
  <cdr:relSizeAnchor xmlns:cdr="http://schemas.openxmlformats.org/drawingml/2006/chartDrawing">
    <cdr:from>
      <cdr:x>0.83459</cdr:x>
      <cdr:y>0.48047</cdr:y>
    </cdr:from>
    <cdr:to>
      <cdr:x>0.96786</cdr:x>
      <cdr:y>0.61527</cdr:y>
    </cdr:to>
    <cdr:sp macro="" textlink="">
      <cdr:nvSpPr>
        <cdr:cNvPr id="2" name="CaixaDeTexto 1"/>
        <cdr:cNvSpPr txBox="1"/>
      </cdr:nvSpPr>
      <cdr:spPr>
        <a:xfrm xmlns:a="http://schemas.openxmlformats.org/drawingml/2006/main">
          <a:off x="4421095" y="745564"/>
          <a:ext cx="705971" cy="20917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pt-PT" sz="1000" baseline="0">
              <a:solidFill>
                <a:schemeClr val="bg1"/>
              </a:solidFill>
            </a:rPr>
            <a:t>Tempo activo</a:t>
          </a:r>
          <a:endParaRPr lang="pt-PT" sz="1000">
            <a:solidFill>
              <a:schemeClr val="bg1"/>
            </a:solidFill>
          </a:endParaRPr>
        </a:p>
      </cdr:txBody>
    </cdr:sp>
  </cdr:relSizeAnchor>
  <cdr:relSizeAnchor xmlns:cdr="http://schemas.openxmlformats.org/drawingml/2006/chartDrawing">
    <cdr:from>
      <cdr:x>0.61036</cdr:x>
      <cdr:y>0.30715</cdr:y>
    </cdr:from>
    <cdr:to>
      <cdr:x>0.81556</cdr:x>
      <cdr:y>0.47325</cdr:y>
    </cdr:to>
    <cdr:sp macro="" textlink="">
      <cdr:nvSpPr>
        <cdr:cNvPr id="3" name="CaixaDeTexto 1"/>
        <cdr:cNvSpPr txBox="1"/>
      </cdr:nvSpPr>
      <cdr:spPr>
        <a:xfrm xmlns:a="http://schemas.openxmlformats.org/drawingml/2006/main">
          <a:off x="3233271" y="476623"/>
          <a:ext cx="1086970" cy="25773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pt-PT" sz="1000">
              <a:solidFill>
                <a:schemeClr val="bg1"/>
              </a:solidFill>
            </a:rPr>
            <a:t>Tempo</a:t>
          </a:r>
          <a:r>
            <a:rPr lang="pt-PT" sz="1000" baseline="0">
              <a:solidFill>
                <a:schemeClr val="bg1"/>
              </a:solidFill>
            </a:rPr>
            <a:t> inactivo</a:t>
          </a:r>
        </a:p>
      </cdr:txBody>
    </cdr:sp>
  </cdr:relSizeAnchor>
</c:userShapes>
</file>

<file path=xl/drawings/drawing22.xml><?xml version="1.0" encoding="utf-8"?>
<c:userShapes xmlns:c="http://schemas.openxmlformats.org/drawingml/2006/chart">
  <cdr:relSizeAnchor xmlns:cdr="http://schemas.openxmlformats.org/drawingml/2006/chartDrawing">
    <cdr:from>
      <cdr:x>0.86209</cdr:x>
      <cdr:y>0.47325</cdr:y>
    </cdr:from>
    <cdr:to>
      <cdr:x>0.99536</cdr:x>
      <cdr:y>0.60805</cdr:y>
    </cdr:to>
    <cdr:sp macro="" textlink="">
      <cdr:nvSpPr>
        <cdr:cNvPr id="2" name="CaixaDeTexto 1"/>
        <cdr:cNvSpPr txBox="1"/>
      </cdr:nvSpPr>
      <cdr:spPr>
        <a:xfrm xmlns:a="http://schemas.openxmlformats.org/drawingml/2006/main">
          <a:off x="4566771" y="734359"/>
          <a:ext cx="705971" cy="20917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pt-PT" sz="1000" baseline="0">
              <a:solidFill>
                <a:schemeClr val="bg1"/>
              </a:solidFill>
            </a:rPr>
            <a:t>Tempo activo</a:t>
          </a:r>
          <a:endParaRPr lang="pt-PT" sz="1000">
            <a:solidFill>
              <a:schemeClr val="bg1"/>
            </a:solidFill>
          </a:endParaRPr>
        </a:p>
      </cdr:txBody>
    </cdr:sp>
  </cdr:relSizeAnchor>
  <cdr:relSizeAnchor xmlns:cdr="http://schemas.openxmlformats.org/drawingml/2006/chartDrawing">
    <cdr:from>
      <cdr:x>0.65055</cdr:x>
      <cdr:y>0.31438</cdr:y>
    </cdr:from>
    <cdr:to>
      <cdr:x>0.85575</cdr:x>
      <cdr:y>0.48047</cdr:y>
    </cdr:to>
    <cdr:sp macro="" textlink="">
      <cdr:nvSpPr>
        <cdr:cNvPr id="3" name="CaixaDeTexto 1"/>
        <cdr:cNvSpPr txBox="1"/>
      </cdr:nvSpPr>
      <cdr:spPr>
        <a:xfrm xmlns:a="http://schemas.openxmlformats.org/drawingml/2006/main">
          <a:off x="3446183" y="487829"/>
          <a:ext cx="1086970" cy="25773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pt-PT" sz="1000">
              <a:solidFill>
                <a:schemeClr val="bg1"/>
              </a:solidFill>
            </a:rPr>
            <a:t>Tempo</a:t>
          </a:r>
          <a:r>
            <a:rPr lang="pt-PT" sz="1000" baseline="0">
              <a:solidFill>
                <a:schemeClr val="bg1"/>
              </a:solidFill>
            </a:rPr>
            <a:t> inactivo</a:t>
          </a:r>
        </a:p>
      </cdr:txBody>
    </cdr:sp>
  </cdr:relSizeAnchor>
</c:userShapes>
</file>

<file path=xl/drawings/drawing23.xml><?xml version="1.0" encoding="utf-8"?>
<c:userShapes xmlns:c="http://schemas.openxmlformats.org/drawingml/2006/chart">
  <cdr:relSizeAnchor xmlns:cdr="http://schemas.openxmlformats.org/drawingml/2006/chartDrawing">
    <cdr:from>
      <cdr:x>0.86386</cdr:x>
      <cdr:y>0.47445</cdr:y>
    </cdr:from>
    <cdr:to>
      <cdr:x>0.99773</cdr:x>
      <cdr:y>0.60959</cdr:y>
    </cdr:to>
    <cdr:sp macro="" textlink="">
      <cdr:nvSpPr>
        <cdr:cNvPr id="2" name="CaixaDeTexto 1"/>
        <cdr:cNvSpPr txBox="1"/>
      </cdr:nvSpPr>
      <cdr:spPr>
        <a:xfrm xmlns:a="http://schemas.openxmlformats.org/drawingml/2006/main">
          <a:off x="4555564" y="734359"/>
          <a:ext cx="705971" cy="20917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pt-PT" sz="1000" baseline="0">
              <a:solidFill>
                <a:schemeClr val="bg1"/>
              </a:solidFill>
            </a:rPr>
            <a:t>Tempo activo</a:t>
          </a:r>
          <a:endParaRPr lang="pt-PT" sz="1000">
            <a:solidFill>
              <a:schemeClr val="bg1"/>
            </a:solidFill>
          </a:endParaRPr>
        </a:p>
      </cdr:txBody>
    </cdr:sp>
  </cdr:relSizeAnchor>
  <cdr:relSizeAnchor xmlns:cdr="http://schemas.openxmlformats.org/drawingml/2006/chartDrawing">
    <cdr:from>
      <cdr:x>0.64712</cdr:x>
      <cdr:y>0.29345</cdr:y>
    </cdr:from>
    <cdr:to>
      <cdr:x>0.85324</cdr:x>
      <cdr:y>0.45997</cdr:y>
    </cdr:to>
    <cdr:sp macro="" textlink="">
      <cdr:nvSpPr>
        <cdr:cNvPr id="3" name="CaixaDeTexto 1"/>
        <cdr:cNvSpPr txBox="1"/>
      </cdr:nvSpPr>
      <cdr:spPr>
        <a:xfrm xmlns:a="http://schemas.openxmlformats.org/drawingml/2006/main">
          <a:off x="3412565" y="454212"/>
          <a:ext cx="1086970" cy="25773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pt-PT" sz="1000">
              <a:solidFill>
                <a:schemeClr val="bg1"/>
              </a:solidFill>
            </a:rPr>
            <a:t>Tempo</a:t>
          </a:r>
          <a:r>
            <a:rPr lang="pt-PT" sz="1000" baseline="0">
              <a:solidFill>
                <a:schemeClr val="bg1"/>
              </a:solidFill>
            </a:rPr>
            <a:t> inactivo</a:t>
          </a:r>
        </a:p>
      </cdr:txBody>
    </cdr:sp>
  </cdr:relSizeAnchor>
</c:userShapes>
</file>

<file path=xl/drawings/drawing24.xml><?xml version="1.0" encoding="utf-8"?>
<c:userShapes xmlns:c="http://schemas.openxmlformats.org/drawingml/2006/chart">
  <cdr:relSizeAnchor xmlns:cdr="http://schemas.openxmlformats.org/drawingml/2006/chartDrawing">
    <cdr:from>
      <cdr:x>0.83459</cdr:x>
      <cdr:y>0.46603</cdr:y>
    </cdr:from>
    <cdr:to>
      <cdr:x>0.96786</cdr:x>
      <cdr:y>0.60083</cdr:y>
    </cdr:to>
    <cdr:sp macro="" textlink="">
      <cdr:nvSpPr>
        <cdr:cNvPr id="2" name="CaixaDeTexto 1"/>
        <cdr:cNvSpPr txBox="1"/>
      </cdr:nvSpPr>
      <cdr:spPr>
        <a:xfrm xmlns:a="http://schemas.openxmlformats.org/drawingml/2006/main">
          <a:off x="4421094" y="723152"/>
          <a:ext cx="705971" cy="20917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pt-PT" sz="1000" baseline="0">
              <a:solidFill>
                <a:schemeClr val="bg1"/>
              </a:solidFill>
            </a:rPr>
            <a:t>Tempo activo</a:t>
          </a:r>
          <a:endParaRPr lang="pt-PT" sz="1000">
            <a:solidFill>
              <a:schemeClr val="bg1"/>
            </a:solidFill>
          </a:endParaRPr>
        </a:p>
      </cdr:txBody>
    </cdr:sp>
  </cdr:relSizeAnchor>
  <cdr:relSizeAnchor xmlns:cdr="http://schemas.openxmlformats.org/drawingml/2006/chartDrawing">
    <cdr:from>
      <cdr:x>0.67171</cdr:x>
      <cdr:y>0.3216</cdr:y>
    </cdr:from>
    <cdr:to>
      <cdr:x>0.8769</cdr:x>
      <cdr:y>0.48769</cdr:y>
    </cdr:to>
    <cdr:sp macro="" textlink="">
      <cdr:nvSpPr>
        <cdr:cNvPr id="3" name="CaixaDeTexto 1"/>
        <cdr:cNvSpPr txBox="1"/>
      </cdr:nvSpPr>
      <cdr:spPr>
        <a:xfrm xmlns:a="http://schemas.openxmlformats.org/drawingml/2006/main">
          <a:off x="3558242" y="499036"/>
          <a:ext cx="1086970" cy="25773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pt-PT" sz="1000">
              <a:solidFill>
                <a:schemeClr val="bg1"/>
              </a:solidFill>
            </a:rPr>
            <a:t>Tempo</a:t>
          </a:r>
          <a:r>
            <a:rPr lang="pt-PT" sz="1000" baseline="0">
              <a:solidFill>
                <a:schemeClr val="bg1"/>
              </a:solidFill>
            </a:rPr>
            <a:t> inactivo</a:t>
          </a:r>
        </a:p>
      </cdr:txBody>
    </cdr:sp>
  </cdr:relSizeAnchor>
</c:userShapes>
</file>

<file path=xl/drawings/drawing25.xml><?xml version="1.0" encoding="utf-8"?>
<c:userShapes xmlns:c="http://schemas.openxmlformats.org/drawingml/2006/chart">
  <cdr:relSizeAnchor xmlns:cdr="http://schemas.openxmlformats.org/drawingml/2006/chartDrawing">
    <cdr:from>
      <cdr:x>0.83671</cdr:x>
      <cdr:y>0.47325</cdr:y>
    </cdr:from>
    <cdr:to>
      <cdr:x>0.96998</cdr:x>
      <cdr:y>0.60805</cdr:y>
    </cdr:to>
    <cdr:sp macro="" textlink="">
      <cdr:nvSpPr>
        <cdr:cNvPr id="2" name="CaixaDeTexto 1"/>
        <cdr:cNvSpPr txBox="1"/>
      </cdr:nvSpPr>
      <cdr:spPr>
        <a:xfrm xmlns:a="http://schemas.openxmlformats.org/drawingml/2006/main">
          <a:off x="4432300" y="734359"/>
          <a:ext cx="705971" cy="20917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pt-PT" sz="1000" baseline="0">
              <a:solidFill>
                <a:schemeClr val="bg1"/>
              </a:solidFill>
            </a:rPr>
            <a:t>Tempo activo</a:t>
          </a:r>
          <a:endParaRPr lang="pt-PT" sz="1000">
            <a:solidFill>
              <a:schemeClr val="bg1"/>
            </a:solidFill>
          </a:endParaRPr>
        </a:p>
      </cdr:txBody>
    </cdr:sp>
  </cdr:relSizeAnchor>
  <cdr:relSizeAnchor xmlns:cdr="http://schemas.openxmlformats.org/drawingml/2006/chartDrawing">
    <cdr:from>
      <cdr:x>0.59344</cdr:x>
      <cdr:y>0.29993</cdr:y>
    </cdr:from>
    <cdr:to>
      <cdr:x>0.79863</cdr:x>
      <cdr:y>0.46603</cdr:y>
    </cdr:to>
    <cdr:sp macro="" textlink="">
      <cdr:nvSpPr>
        <cdr:cNvPr id="3" name="CaixaDeTexto 1"/>
        <cdr:cNvSpPr txBox="1"/>
      </cdr:nvSpPr>
      <cdr:spPr>
        <a:xfrm xmlns:a="http://schemas.openxmlformats.org/drawingml/2006/main">
          <a:off x="3143623" y="465418"/>
          <a:ext cx="1086970" cy="25773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pt-PT" sz="1000">
              <a:solidFill>
                <a:schemeClr val="bg1"/>
              </a:solidFill>
            </a:rPr>
            <a:t>Tempo</a:t>
          </a:r>
          <a:r>
            <a:rPr lang="pt-PT" sz="1000" baseline="0">
              <a:solidFill>
                <a:schemeClr val="bg1"/>
              </a:solidFill>
            </a:rPr>
            <a:t> inactivo</a:t>
          </a:r>
        </a:p>
      </cdr:txBody>
    </cdr:sp>
  </cdr:relSizeAnchor>
</c:userShapes>
</file>

<file path=xl/drawings/drawing26.xml><?xml version="1.0" encoding="utf-8"?>
<c:userShapes xmlns:c="http://schemas.openxmlformats.org/drawingml/2006/chart">
  <cdr:relSizeAnchor xmlns:cdr="http://schemas.openxmlformats.org/drawingml/2006/chartDrawing">
    <cdr:from>
      <cdr:x>0.83289</cdr:x>
      <cdr:y>0.47325</cdr:y>
    </cdr:from>
    <cdr:to>
      <cdr:x>0.96829</cdr:x>
      <cdr:y>0.60805</cdr:y>
    </cdr:to>
    <cdr:sp macro="" textlink="">
      <cdr:nvSpPr>
        <cdr:cNvPr id="2" name="CaixaDeTexto 1"/>
        <cdr:cNvSpPr txBox="1"/>
      </cdr:nvSpPr>
      <cdr:spPr>
        <a:xfrm xmlns:a="http://schemas.openxmlformats.org/drawingml/2006/main">
          <a:off x="4342653" y="734359"/>
          <a:ext cx="705971" cy="20917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pt-PT" sz="1000" baseline="0">
              <a:solidFill>
                <a:schemeClr val="bg1"/>
              </a:solidFill>
            </a:rPr>
            <a:t>Tempo activo</a:t>
          </a:r>
          <a:endParaRPr lang="pt-PT" sz="1000">
            <a:solidFill>
              <a:schemeClr val="bg1"/>
            </a:solidFill>
          </a:endParaRPr>
        </a:p>
      </cdr:txBody>
    </cdr:sp>
  </cdr:relSizeAnchor>
  <cdr:relSizeAnchor xmlns:cdr="http://schemas.openxmlformats.org/drawingml/2006/chartDrawing">
    <cdr:from>
      <cdr:x>0.59433</cdr:x>
      <cdr:y>0.29271</cdr:y>
    </cdr:from>
    <cdr:to>
      <cdr:x>0.8028</cdr:x>
      <cdr:y>0.45881</cdr:y>
    </cdr:to>
    <cdr:sp macro="" textlink="">
      <cdr:nvSpPr>
        <cdr:cNvPr id="3" name="CaixaDeTexto 1"/>
        <cdr:cNvSpPr txBox="1"/>
      </cdr:nvSpPr>
      <cdr:spPr>
        <a:xfrm xmlns:a="http://schemas.openxmlformats.org/drawingml/2006/main">
          <a:off x="3098800" y="454212"/>
          <a:ext cx="1086970" cy="25773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pt-PT" sz="1000">
              <a:solidFill>
                <a:schemeClr val="bg1"/>
              </a:solidFill>
            </a:rPr>
            <a:t>Tempo</a:t>
          </a:r>
          <a:r>
            <a:rPr lang="pt-PT" sz="1000" baseline="0">
              <a:solidFill>
                <a:schemeClr val="bg1"/>
              </a:solidFill>
            </a:rPr>
            <a:t> inactivo</a:t>
          </a:r>
        </a:p>
      </cdr:txBody>
    </cdr:sp>
  </cdr:relSizeAnchor>
</c:userShapes>
</file>

<file path=xl/drawings/drawing27.xml><?xml version="1.0" encoding="utf-8"?>
<c:userShapes xmlns:c="http://schemas.openxmlformats.org/drawingml/2006/chart">
  <cdr:relSizeAnchor xmlns:cdr="http://schemas.openxmlformats.org/drawingml/2006/chartDrawing">
    <cdr:from>
      <cdr:x>0.83686</cdr:x>
      <cdr:y>0.46716</cdr:y>
    </cdr:from>
    <cdr:to>
      <cdr:x>0.97362</cdr:x>
      <cdr:y>0.60441</cdr:y>
    </cdr:to>
    <cdr:sp macro="" textlink="">
      <cdr:nvSpPr>
        <cdr:cNvPr id="2" name="CaixaDeTexto 1"/>
        <cdr:cNvSpPr txBox="1"/>
      </cdr:nvSpPr>
      <cdr:spPr>
        <a:xfrm xmlns:a="http://schemas.openxmlformats.org/drawingml/2006/main">
          <a:off x="4320241" y="711947"/>
          <a:ext cx="705971" cy="20917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pt-PT" sz="1000" baseline="0">
              <a:solidFill>
                <a:schemeClr val="bg1"/>
              </a:solidFill>
            </a:rPr>
            <a:t>Tempo activo</a:t>
          </a:r>
          <a:endParaRPr lang="pt-PT" sz="1000">
            <a:solidFill>
              <a:schemeClr val="bg1"/>
            </a:solidFill>
          </a:endParaRPr>
        </a:p>
      </cdr:txBody>
    </cdr:sp>
  </cdr:relSizeAnchor>
  <cdr:relSizeAnchor xmlns:cdr="http://schemas.openxmlformats.org/drawingml/2006/chartDrawing">
    <cdr:from>
      <cdr:x>0.58941</cdr:x>
      <cdr:y>0.29069</cdr:y>
    </cdr:from>
    <cdr:to>
      <cdr:x>0.79996</cdr:x>
      <cdr:y>0.4598</cdr:y>
    </cdr:to>
    <cdr:sp macro="" textlink="">
      <cdr:nvSpPr>
        <cdr:cNvPr id="3" name="CaixaDeTexto 1"/>
        <cdr:cNvSpPr txBox="1"/>
      </cdr:nvSpPr>
      <cdr:spPr>
        <a:xfrm xmlns:a="http://schemas.openxmlformats.org/drawingml/2006/main">
          <a:off x="3042770" y="443006"/>
          <a:ext cx="1086970" cy="25773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pt-PT" sz="1000">
              <a:solidFill>
                <a:schemeClr val="bg1"/>
              </a:solidFill>
            </a:rPr>
            <a:t>Tempo</a:t>
          </a:r>
          <a:r>
            <a:rPr lang="pt-PT" sz="1000" baseline="0">
              <a:solidFill>
                <a:schemeClr val="bg1"/>
              </a:solidFill>
            </a:rPr>
            <a:t> inactivo</a:t>
          </a:r>
        </a:p>
      </cdr:txBody>
    </cdr:sp>
  </cdr:relSizeAnchor>
</c:userShapes>
</file>

<file path=xl/drawings/drawing28.xml><?xml version="1.0" encoding="utf-8"?>
<c:userShapes xmlns:c="http://schemas.openxmlformats.org/drawingml/2006/chart">
  <cdr:relSizeAnchor xmlns:cdr="http://schemas.openxmlformats.org/drawingml/2006/chartDrawing">
    <cdr:from>
      <cdr:x>0.58815</cdr:x>
      <cdr:y>0.28403</cdr:y>
    </cdr:from>
    <cdr:to>
      <cdr:x>0.79903</cdr:x>
      <cdr:y>0.44927</cdr:y>
    </cdr:to>
    <cdr:sp macro="" textlink="">
      <cdr:nvSpPr>
        <cdr:cNvPr id="2" name="CaixaDeTexto 1"/>
        <cdr:cNvSpPr txBox="1"/>
      </cdr:nvSpPr>
      <cdr:spPr>
        <a:xfrm xmlns:a="http://schemas.openxmlformats.org/drawingml/2006/main">
          <a:off x="3031565" y="443006"/>
          <a:ext cx="1086970" cy="25773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pt-PT" sz="1000">
              <a:solidFill>
                <a:schemeClr val="bg1"/>
              </a:solidFill>
            </a:rPr>
            <a:t>Tempo</a:t>
          </a:r>
          <a:r>
            <a:rPr lang="pt-PT" sz="1000" baseline="0">
              <a:solidFill>
                <a:schemeClr val="bg1"/>
              </a:solidFill>
            </a:rPr>
            <a:t> inactivo</a:t>
          </a:r>
        </a:p>
      </cdr:txBody>
    </cdr:sp>
  </cdr:relSizeAnchor>
  <cdr:relSizeAnchor xmlns:cdr="http://schemas.openxmlformats.org/drawingml/2006/chartDrawing">
    <cdr:from>
      <cdr:x>0.82947</cdr:x>
      <cdr:y>0.45646</cdr:y>
    </cdr:from>
    <cdr:to>
      <cdr:x>0.96643</cdr:x>
      <cdr:y>0.59057</cdr:y>
    </cdr:to>
    <cdr:sp macro="" textlink="">
      <cdr:nvSpPr>
        <cdr:cNvPr id="3" name="CaixaDeTexto 1"/>
        <cdr:cNvSpPr txBox="1"/>
      </cdr:nvSpPr>
      <cdr:spPr>
        <a:xfrm xmlns:a="http://schemas.openxmlformats.org/drawingml/2006/main">
          <a:off x="4275418" y="711947"/>
          <a:ext cx="705971" cy="20917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pt-PT" sz="1000" baseline="0">
              <a:solidFill>
                <a:schemeClr val="bg1"/>
              </a:solidFill>
            </a:rPr>
            <a:t>Tempo activo</a:t>
          </a:r>
          <a:endParaRPr lang="pt-PT" sz="1000">
            <a:solidFill>
              <a:schemeClr val="bg1"/>
            </a:solidFill>
          </a:endParaRPr>
        </a:p>
      </cdr:txBody>
    </cdr:sp>
  </cdr:relSizeAnchor>
</c:userShapes>
</file>

<file path=xl/drawings/drawing29.xml><?xml version="1.0" encoding="utf-8"?>
<c:userShapes xmlns:c="http://schemas.openxmlformats.org/drawingml/2006/chart">
  <cdr:relSizeAnchor xmlns:cdr="http://schemas.openxmlformats.org/drawingml/2006/chartDrawing">
    <cdr:from>
      <cdr:x>0.65554</cdr:x>
      <cdr:y>0.25925</cdr:y>
    </cdr:from>
    <cdr:to>
      <cdr:x>0.86642</cdr:x>
      <cdr:y>0.42706</cdr:y>
    </cdr:to>
    <cdr:sp macro="" textlink="">
      <cdr:nvSpPr>
        <cdr:cNvPr id="2" name="CaixaDeTexto 1"/>
        <cdr:cNvSpPr txBox="1"/>
      </cdr:nvSpPr>
      <cdr:spPr>
        <a:xfrm xmlns:a="http://schemas.openxmlformats.org/drawingml/2006/main">
          <a:off x="3378947" y="398182"/>
          <a:ext cx="1086970" cy="25773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pt-PT" sz="1000">
              <a:solidFill>
                <a:schemeClr val="bg1"/>
              </a:solidFill>
            </a:rPr>
            <a:t>Tempo</a:t>
          </a:r>
          <a:r>
            <a:rPr lang="pt-PT" sz="1000" baseline="0">
              <a:solidFill>
                <a:schemeClr val="bg1"/>
              </a:solidFill>
            </a:rPr>
            <a:t> inactivo</a:t>
          </a:r>
        </a:p>
      </cdr:txBody>
    </cdr:sp>
  </cdr:relSizeAnchor>
  <cdr:relSizeAnchor xmlns:cdr="http://schemas.openxmlformats.org/drawingml/2006/chartDrawing">
    <cdr:from>
      <cdr:x>0.85651</cdr:x>
      <cdr:y>0.47083</cdr:y>
    </cdr:from>
    <cdr:to>
      <cdr:x>0.99348</cdr:x>
      <cdr:y>0.60702</cdr:y>
    </cdr:to>
    <cdr:sp macro="" textlink="">
      <cdr:nvSpPr>
        <cdr:cNvPr id="3" name="CaixaDeTexto 1"/>
        <cdr:cNvSpPr txBox="1"/>
      </cdr:nvSpPr>
      <cdr:spPr>
        <a:xfrm xmlns:a="http://schemas.openxmlformats.org/drawingml/2006/main">
          <a:off x="4414839" y="723153"/>
          <a:ext cx="705971" cy="20917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pt-PT" sz="1000" baseline="0">
              <a:solidFill>
                <a:schemeClr val="bg1"/>
              </a:solidFill>
            </a:rPr>
            <a:t>Tempo activo</a:t>
          </a:r>
          <a:endParaRPr lang="pt-PT" sz="1000">
            <a:solidFill>
              <a:schemeClr val="bg1"/>
            </a:solidFill>
          </a:endParaRPr>
        </a:p>
      </cdr:txBody>
    </cdr:sp>
  </cdr:relSizeAnchor>
</c:userShapes>
</file>

<file path=xl/drawings/drawing3.xml><?xml version="1.0" encoding="utf-8"?>
<xdr:wsDr xmlns:xdr="http://schemas.openxmlformats.org/drawingml/2006/spreadsheetDrawing" xmlns:a="http://schemas.openxmlformats.org/drawingml/2006/main">
  <xdr:twoCellAnchor>
    <xdr:from>
      <xdr:col>0</xdr:col>
      <xdr:colOff>190500</xdr:colOff>
      <xdr:row>25</xdr:row>
      <xdr:rowOff>180974</xdr:rowOff>
    </xdr:from>
    <xdr:to>
      <xdr:col>9</xdr:col>
      <xdr:colOff>9525</xdr:colOff>
      <xdr:row>40</xdr:row>
      <xdr:rowOff>38099</xdr:rowOff>
    </xdr:to>
    <xdr:graphicFrame macro="">
      <xdr:nvGraphicFramePr>
        <xdr:cNvPr id="8" name="Gráfico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342899</xdr:colOff>
      <xdr:row>1</xdr:row>
      <xdr:rowOff>0</xdr:rowOff>
    </xdr:from>
    <xdr:to>
      <xdr:col>14</xdr:col>
      <xdr:colOff>409575</xdr:colOff>
      <xdr:row>7</xdr:row>
      <xdr:rowOff>66675</xdr:rowOff>
    </xdr:to>
    <xdr:graphicFrame macro="">
      <xdr:nvGraphicFramePr>
        <xdr:cNvPr id="9" name="Gráfico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342900</xdr:colOff>
      <xdr:row>7</xdr:row>
      <xdr:rowOff>142876</xdr:rowOff>
    </xdr:from>
    <xdr:to>
      <xdr:col>14</xdr:col>
      <xdr:colOff>409575</xdr:colOff>
      <xdr:row>14</xdr:row>
      <xdr:rowOff>180976</xdr:rowOff>
    </xdr:to>
    <xdr:graphicFrame macro="">
      <xdr:nvGraphicFramePr>
        <xdr:cNvPr id="10" name="Gráfico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342900</xdr:colOff>
      <xdr:row>15</xdr:row>
      <xdr:rowOff>57150</xdr:rowOff>
    </xdr:from>
    <xdr:to>
      <xdr:col>14</xdr:col>
      <xdr:colOff>409575</xdr:colOff>
      <xdr:row>22</xdr:row>
      <xdr:rowOff>47625</xdr:rowOff>
    </xdr:to>
    <xdr:graphicFrame macro="">
      <xdr:nvGraphicFramePr>
        <xdr:cNvPr id="11" name="Gráfico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xdr:col>
      <xdr:colOff>352425</xdr:colOff>
      <xdr:row>22</xdr:row>
      <xdr:rowOff>123826</xdr:rowOff>
    </xdr:from>
    <xdr:to>
      <xdr:col>14</xdr:col>
      <xdr:colOff>409575</xdr:colOff>
      <xdr:row>29</xdr:row>
      <xdr:rowOff>142876</xdr:rowOff>
    </xdr:to>
    <xdr:graphicFrame macro="">
      <xdr:nvGraphicFramePr>
        <xdr:cNvPr id="12" name="Gráfico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342900</xdr:colOff>
      <xdr:row>30</xdr:row>
      <xdr:rowOff>47625</xdr:rowOff>
    </xdr:from>
    <xdr:to>
      <xdr:col>14</xdr:col>
      <xdr:colOff>390525</xdr:colOff>
      <xdr:row>37</xdr:row>
      <xdr:rowOff>57150</xdr:rowOff>
    </xdr:to>
    <xdr:graphicFrame macro="">
      <xdr:nvGraphicFramePr>
        <xdr:cNvPr id="13" name="Gráfico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0</xdr:row>
      <xdr:rowOff>0</xdr:rowOff>
    </xdr:from>
    <xdr:to>
      <xdr:col>1</xdr:col>
      <xdr:colOff>445297</xdr:colOff>
      <xdr:row>1</xdr:row>
      <xdr:rowOff>171450</xdr:rowOff>
    </xdr:to>
    <xdr:sp macro="" textlink="">
      <xdr:nvSpPr>
        <xdr:cNvPr id="15" name="Bisel 14">
          <a:hlinkClick xmlns:r="http://schemas.openxmlformats.org/officeDocument/2006/relationships" r:id="rId7"/>
        </xdr:cNvPr>
        <xdr:cNvSpPr/>
      </xdr:nvSpPr>
      <xdr:spPr>
        <a:xfrm>
          <a:off x="0" y="0"/>
          <a:ext cx="645322" cy="36195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PT" sz="1100"/>
            <a:t>Index</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645322</xdr:colOff>
      <xdr:row>1</xdr:row>
      <xdr:rowOff>95250</xdr:rowOff>
    </xdr:to>
    <xdr:sp macro="" textlink="">
      <xdr:nvSpPr>
        <xdr:cNvPr id="2" name="Bisel 1">
          <a:hlinkClick xmlns:r="http://schemas.openxmlformats.org/officeDocument/2006/relationships" r:id="rId1"/>
        </xdr:cNvPr>
        <xdr:cNvSpPr/>
      </xdr:nvSpPr>
      <xdr:spPr>
        <a:xfrm>
          <a:off x="0" y="0"/>
          <a:ext cx="645322" cy="36195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PT" sz="1100"/>
            <a:t>Index</a:t>
          </a: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0</xdr:col>
      <xdr:colOff>161925</xdr:colOff>
      <xdr:row>42</xdr:row>
      <xdr:rowOff>152399</xdr:rowOff>
    </xdr:from>
    <xdr:to>
      <xdr:col>8</xdr:col>
      <xdr:colOff>1314450</xdr:colOff>
      <xdr:row>57</xdr:row>
      <xdr:rowOff>9524</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342899</xdr:colOff>
      <xdr:row>1</xdr:row>
      <xdr:rowOff>0</xdr:rowOff>
    </xdr:from>
    <xdr:to>
      <xdr:col>14</xdr:col>
      <xdr:colOff>409575</xdr:colOff>
      <xdr:row>7</xdr:row>
      <xdr:rowOff>66675</xdr:rowOff>
    </xdr:to>
    <xdr:graphicFrame macro="">
      <xdr:nvGraphicFramePr>
        <xdr:cNvPr id="3"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342900</xdr:colOff>
      <xdr:row>7</xdr:row>
      <xdr:rowOff>142876</xdr:rowOff>
    </xdr:from>
    <xdr:to>
      <xdr:col>14</xdr:col>
      <xdr:colOff>409575</xdr:colOff>
      <xdr:row>14</xdr:row>
      <xdr:rowOff>180976</xdr:rowOff>
    </xdr:to>
    <xdr:graphicFrame macro="">
      <xdr:nvGraphicFramePr>
        <xdr:cNvPr id="4" name="Gráfico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342899</xdr:colOff>
      <xdr:row>15</xdr:row>
      <xdr:rowOff>57150</xdr:rowOff>
    </xdr:from>
    <xdr:to>
      <xdr:col>19</xdr:col>
      <xdr:colOff>28574</xdr:colOff>
      <xdr:row>22</xdr:row>
      <xdr:rowOff>66675</xdr:rowOff>
    </xdr:to>
    <xdr:graphicFrame macro="">
      <xdr:nvGraphicFramePr>
        <xdr:cNvPr id="5" name="Gráfico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xdr:col>
      <xdr:colOff>352425</xdr:colOff>
      <xdr:row>22</xdr:row>
      <xdr:rowOff>123826</xdr:rowOff>
    </xdr:from>
    <xdr:to>
      <xdr:col>14</xdr:col>
      <xdr:colOff>409575</xdr:colOff>
      <xdr:row>28</xdr:row>
      <xdr:rowOff>142876</xdr:rowOff>
    </xdr:to>
    <xdr:graphicFrame macro="">
      <xdr:nvGraphicFramePr>
        <xdr:cNvPr id="6" name="Gráfico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342900</xdr:colOff>
      <xdr:row>29</xdr:row>
      <xdr:rowOff>47625</xdr:rowOff>
    </xdr:from>
    <xdr:to>
      <xdr:col>14</xdr:col>
      <xdr:colOff>390525</xdr:colOff>
      <xdr:row>36</xdr:row>
      <xdr:rowOff>57150</xdr:rowOff>
    </xdr:to>
    <xdr:graphicFrame macro="">
      <xdr:nvGraphicFramePr>
        <xdr:cNvPr id="7" name="Gráfico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0</xdr:row>
      <xdr:rowOff>0</xdr:rowOff>
    </xdr:from>
    <xdr:to>
      <xdr:col>1</xdr:col>
      <xdr:colOff>445297</xdr:colOff>
      <xdr:row>1</xdr:row>
      <xdr:rowOff>171450</xdr:rowOff>
    </xdr:to>
    <xdr:sp macro="" textlink="">
      <xdr:nvSpPr>
        <xdr:cNvPr id="8" name="Bisel 7">
          <a:hlinkClick xmlns:r="http://schemas.openxmlformats.org/officeDocument/2006/relationships" r:id="rId7"/>
        </xdr:cNvPr>
        <xdr:cNvSpPr/>
      </xdr:nvSpPr>
      <xdr:spPr>
        <a:xfrm>
          <a:off x="0" y="0"/>
          <a:ext cx="645322" cy="36195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PT" sz="1100"/>
            <a:t>Index</a:t>
          </a: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445297</xdr:colOff>
      <xdr:row>1</xdr:row>
      <xdr:rowOff>171450</xdr:rowOff>
    </xdr:to>
    <xdr:sp macro="" textlink="">
      <xdr:nvSpPr>
        <xdr:cNvPr id="2" name="Bisel 1">
          <a:hlinkClick xmlns:r="http://schemas.openxmlformats.org/officeDocument/2006/relationships" r:id="rId1"/>
        </xdr:cNvPr>
        <xdr:cNvSpPr/>
      </xdr:nvSpPr>
      <xdr:spPr>
        <a:xfrm>
          <a:off x="0" y="0"/>
          <a:ext cx="645322" cy="36195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PT" sz="1100"/>
            <a:t>Index</a:t>
          </a:r>
        </a:p>
      </xdr:txBody>
    </xdr:sp>
    <xdr:clientData/>
  </xdr:twoCellAnchor>
  <xdr:twoCellAnchor editAs="oneCell">
    <xdr:from>
      <xdr:col>4</xdr:col>
      <xdr:colOff>609600</xdr:colOff>
      <xdr:row>54</xdr:row>
      <xdr:rowOff>85725</xdr:rowOff>
    </xdr:from>
    <xdr:to>
      <xdr:col>5</xdr:col>
      <xdr:colOff>333375</xdr:colOff>
      <xdr:row>57</xdr:row>
      <xdr:rowOff>145066</xdr:rowOff>
    </xdr:to>
    <xdr:pic>
      <xdr:nvPicPr>
        <xdr:cNvPr id="3" name="Imagem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000375" y="6943725"/>
          <a:ext cx="1057275" cy="630841"/>
        </a:xfrm>
        <a:prstGeom prst="rect">
          <a:avLst/>
        </a:prstGeom>
      </xdr:spPr>
    </xdr:pic>
    <xdr:clientData/>
  </xdr:twoCellAnchor>
  <xdr:twoCellAnchor editAs="oneCell">
    <xdr:from>
      <xdr:col>3</xdr:col>
      <xdr:colOff>47625</xdr:colOff>
      <xdr:row>59</xdr:row>
      <xdr:rowOff>180976</xdr:rowOff>
    </xdr:from>
    <xdr:to>
      <xdr:col>4</xdr:col>
      <xdr:colOff>209550</xdr:colOff>
      <xdr:row>63</xdr:row>
      <xdr:rowOff>48968</xdr:rowOff>
    </xdr:to>
    <xdr:pic>
      <xdr:nvPicPr>
        <xdr:cNvPr id="4" name="Imagem 3" descr="http://www.infoescola.com/wp-content/uploads/2009/08/full-1-d9e96191be.jpg"/>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743075" y="7991476"/>
          <a:ext cx="857250" cy="6299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645322</xdr:colOff>
      <xdr:row>1</xdr:row>
      <xdr:rowOff>171450</xdr:rowOff>
    </xdr:to>
    <xdr:sp macro="" textlink="">
      <xdr:nvSpPr>
        <xdr:cNvPr id="4" name="Bisel 3">
          <a:hlinkClick xmlns:r="http://schemas.openxmlformats.org/officeDocument/2006/relationships" r:id="rId1"/>
        </xdr:cNvPr>
        <xdr:cNvSpPr/>
      </xdr:nvSpPr>
      <xdr:spPr>
        <a:xfrm>
          <a:off x="0" y="0"/>
          <a:ext cx="645322" cy="36195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PT" sz="1100"/>
            <a:t>Index</a:t>
          </a:r>
        </a:p>
      </xdr:txBody>
    </xdr:sp>
    <xdr:clientData/>
  </xdr:twoCellAnchor>
  <xdr:twoCellAnchor>
    <xdr:from>
      <xdr:col>10</xdr:col>
      <xdr:colOff>268942</xdr:colOff>
      <xdr:row>4</xdr:row>
      <xdr:rowOff>103935</xdr:rowOff>
    </xdr:from>
    <xdr:to>
      <xdr:col>19</xdr:col>
      <xdr:colOff>0</xdr:colOff>
      <xdr:row>12</xdr:row>
      <xdr:rowOff>128588</xdr:rowOff>
    </xdr:to>
    <xdr:graphicFrame macro="">
      <xdr:nvGraphicFramePr>
        <xdr:cNvPr id="13" name="Gráfico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268941</xdr:colOff>
      <xdr:row>13</xdr:row>
      <xdr:rowOff>11206</xdr:rowOff>
    </xdr:from>
    <xdr:to>
      <xdr:col>18</xdr:col>
      <xdr:colOff>605116</xdr:colOff>
      <xdr:row>21</xdr:row>
      <xdr:rowOff>35859</xdr:rowOff>
    </xdr:to>
    <xdr:graphicFrame macro="">
      <xdr:nvGraphicFramePr>
        <xdr:cNvPr id="17" name="Gráfico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19</xdr:col>
      <xdr:colOff>190500</xdr:colOff>
      <xdr:row>4</xdr:row>
      <xdr:rowOff>100853</xdr:rowOff>
    </xdr:from>
    <xdr:to>
      <xdr:col>27</xdr:col>
      <xdr:colOff>526676</xdr:colOff>
      <xdr:row>12</xdr:row>
      <xdr:rowOff>125506</xdr:rowOff>
    </xdr:to>
    <xdr:graphicFrame macro="">
      <xdr:nvGraphicFramePr>
        <xdr:cNvPr id="18" name="Gráfico 1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19</xdr:col>
      <xdr:colOff>190500</xdr:colOff>
      <xdr:row>13</xdr:row>
      <xdr:rowOff>56029</xdr:rowOff>
    </xdr:from>
    <xdr:to>
      <xdr:col>27</xdr:col>
      <xdr:colOff>526676</xdr:colOff>
      <xdr:row>21</xdr:row>
      <xdr:rowOff>80682</xdr:rowOff>
    </xdr:to>
    <xdr:graphicFrame macro="">
      <xdr:nvGraphicFramePr>
        <xdr:cNvPr id="19" name="Gráfico 1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28</xdr:col>
      <xdr:colOff>44823</xdr:colOff>
      <xdr:row>4</xdr:row>
      <xdr:rowOff>100853</xdr:rowOff>
    </xdr:from>
    <xdr:to>
      <xdr:col>36</xdr:col>
      <xdr:colOff>381000</xdr:colOff>
      <xdr:row>12</xdr:row>
      <xdr:rowOff>125506</xdr:rowOff>
    </xdr:to>
    <xdr:graphicFrame macro="">
      <xdr:nvGraphicFramePr>
        <xdr:cNvPr id="20" name="Gráfico 1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28</xdr:col>
      <xdr:colOff>44823</xdr:colOff>
      <xdr:row>13</xdr:row>
      <xdr:rowOff>56029</xdr:rowOff>
    </xdr:from>
    <xdr:to>
      <xdr:col>36</xdr:col>
      <xdr:colOff>381000</xdr:colOff>
      <xdr:row>21</xdr:row>
      <xdr:rowOff>80682</xdr:rowOff>
    </xdr:to>
    <xdr:graphicFrame macro="">
      <xdr:nvGraphicFramePr>
        <xdr:cNvPr id="21" name="Gráfico 2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xdr:col>
      <xdr:colOff>56030</xdr:colOff>
      <xdr:row>21</xdr:row>
      <xdr:rowOff>168088</xdr:rowOff>
    </xdr:from>
    <xdr:to>
      <xdr:col>36</xdr:col>
      <xdr:colOff>392207</xdr:colOff>
      <xdr:row>30</xdr:row>
      <xdr:rowOff>2241</xdr:rowOff>
    </xdr:to>
    <xdr:graphicFrame macro="">
      <xdr:nvGraphicFramePr>
        <xdr:cNvPr id="22" name="Gráfico 2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28</xdr:col>
      <xdr:colOff>56030</xdr:colOff>
      <xdr:row>30</xdr:row>
      <xdr:rowOff>89647</xdr:rowOff>
    </xdr:from>
    <xdr:to>
      <xdr:col>36</xdr:col>
      <xdr:colOff>392207</xdr:colOff>
      <xdr:row>38</xdr:row>
      <xdr:rowOff>114300</xdr:rowOff>
    </xdr:to>
    <xdr:graphicFrame macro="">
      <xdr:nvGraphicFramePr>
        <xdr:cNvPr id="23" name="Gráfico 2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28</xdr:col>
      <xdr:colOff>78441</xdr:colOff>
      <xdr:row>39</xdr:row>
      <xdr:rowOff>0</xdr:rowOff>
    </xdr:from>
    <xdr:to>
      <xdr:col>36</xdr:col>
      <xdr:colOff>414618</xdr:colOff>
      <xdr:row>47</xdr:row>
      <xdr:rowOff>24653</xdr:rowOff>
    </xdr:to>
    <xdr:graphicFrame macro="">
      <xdr:nvGraphicFramePr>
        <xdr:cNvPr id="24" name="Gráfico 2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28</xdr:col>
      <xdr:colOff>89648</xdr:colOff>
      <xdr:row>47</xdr:row>
      <xdr:rowOff>112059</xdr:rowOff>
    </xdr:from>
    <xdr:to>
      <xdr:col>36</xdr:col>
      <xdr:colOff>425825</xdr:colOff>
      <xdr:row>55</xdr:row>
      <xdr:rowOff>136712</xdr:rowOff>
    </xdr:to>
    <xdr:graphicFrame macro="">
      <xdr:nvGraphicFramePr>
        <xdr:cNvPr id="25" name="Gráfico 2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36</xdr:col>
      <xdr:colOff>504264</xdr:colOff>
      <xdr:row>4</xdr:row>
      <xdr:rowOff>112059</xdr:rowOff>
    </xdr:from>
    <xdr:to>
      <xdr:col>45</xdr:col>
      <xdr:colOff>235325</xdr:colOff>
      <xdr:row>12</xdr:row>
      <xdr:rowOff>136712</xdr:rowOff>
    </xdr:to>
    <xdr:graphicFrame macro="">
      <xdr:nvGraphicFramePr>
        <xdr:cNvPr id="26" name="Gráfico 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36</xdr:col>
      <xdr:colOff>504266</xdr:colOff>
      <xdr:row>13</xdr:row>
      <xdr:rowOff>22412</xdr:rowOff>
    </xdr:from>
    <xdr:to>
      <xdr:col>45</xdr:col>
      <xdr:colOff>257739</xdr:colOff>
      <xdr:row>21</xdr:row>
      <xdr:rowOff>56029</xdr:rowOff>
    </xdr:to>
    <xdr:graphicFrame macro="">
      <xdr:nvGraphicFramePr>
        <xdr:cNvPr id="27" name="Gráfico 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36</xdr:col>
      <xdr:colOff>493059</xdr:colOff>
      <xdr:row>21</xdr:row>
      <xdr:rowOff>112058</xdr:rowOff>
    </xdr:from>
    <xdr:to>
      <xdr:col>45</xdr:col>
      <xdr:colOff>268943</xdr:colOff>
      <xdr:row>29</xdr:row>
      <xdr:rowOff>123265</xdr:rowOff>
    </xdr:to>
    <xdr:graphicFrame macro="">
      <xdr:nvGraphicFramePr>
        <xdr:cNvPr id="28" name="Gráfico 2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45</xdr:col>
      <xdr:colOff>358587</xdr:colOff>
      <xdr:row>4</xdr:row>
      <xdr:rowOff>112059</xdr:rowOff>
    </xdr:from>
    <xdr:to>
      <xdr:col>53</xdr:col>
      <xdr:colOff>593913</xdr:colOff>
      <xdr:row>12</xdr:row>
      <xdr:rowOff>136712</xdr:rowOff>
    </xdr:to>
    <xdr:graphicFrame macro="">
      <xdr:nvGraphicFramePr>
        <xdr:cNvPr id="29" name="Gráfico 2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45</xdr:col>
      <xdr:colOff>358589</xdr:colOff>
      <xdr:row>13</xdr:row>
      <xdr:rowOff>1</xdr:rowOff>
    </xdr:from>
    <xdr:to>
      <xdr:col>53</xdr:col>
      <xdr:colOff>593915</xdr:colOff>
      <xdr:row>21</xdr:row>
      <xdr:rowOff>24654</xdr:rowOff>
    </xdr:to>
    <xdr:graphicFrame macro="">
      <xdr:nvGraphicFramePr>
        <xdr:cNvPr id="30" name="Gráfico 2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45</xdr:col>
      <xdr:colOff>369794</xdr:colOff>
      <xdr:row>21</xdr:row>
      <xdr:rowOff>100853</xdr:rowOff>
    </xdr:from>
    <xdr:to>
      <xdr:col>54</xdr:col>
      <xdr:colOff>3</xdr:colOff>
      <xdr:row>29</xdr:row>
      <xdr:rowOff>125506</xdr:rowOff>
    </xdr:to>
    <xdr:graphicFrame macro="">
      <xdr:nvGraphicFramePr>
        <xdr:cNvPr id="31" name="Gráfico 3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wsDr>
</file>

<file path=xl/drawings/drawing34.xml><?xml version="1.0" encoding="utf-8"?>
<c:userShapes xmlns:c="http://schemas.openxmlformats.org/drawingml/2006/chart">
  <cdr:relSizeAnchor xmlns:cdr="http://schemas.openxmlformats.org/drawingml/2006/chartDrawing">
    <cdr:from>
      <cdr:x>0.86364</cdr:x>
      <cdr:y>0.47419</cdr:y>
    </cdr:from>
    <cdr:to>
      <cdr:x>1</cdr:x>
      <cdr:y>0.60926</cdr:y>
    </cdr:to>
    <cdr:sp macro="" textlink="">
      <cdr:nvSpPr>
        <cdr:cNvPr id="2" name="CaixaDeTexto 1"/>
        <cdr:cNvSpPr txBox="1"/>
      </cdr:nvSpPr>
      <cdr:spPr>
        <a:xfrm xmlns:a="http://schemas.openxmlformats.org/drawingml/2006/main">
          <a:off x="4471146" y="734359"/>
          <a:ext cx="705971" cy="20917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pt-PT" sz="1000" baseline="0">
              <a:solidFill>
                <a:schemeClr val="bg1"/>
              </a:solidFill>
            </a:rPr>
            <a:t>Tempo activo</a:t>
          </a:r>
          <a:endParaRPr lang="pt-PT" sz="1000">
            <a:solidFill>
              <a:schemeClr val="bg1"/>
            </a:solidFill>
          </a:endParaRPr>
        </a:p>
      </cdr:txBody>
    </cdr:sp>
  </cdr:relSizeAnchor>
  <cdr:relSizeAnchor xmlns:cdr="http://schemas.openxmlformats.org/drawingml/2006/chartDrawing">
    <cdr:from>
      <cdr:x>0.657</cdr:x>
      <cdr:y>0.315</cdr:y>
    </cdr:from>
    <cdr:to>
      <cdr:x>0.86696</cdr:x>
      <cdr:y>0.48143</cdr:y>
    </cdr:to>
    <cdr:sp macro="" textlink="">
      <cdr:nvSpPr>
        <cdr:cNvPr id="3" name="CaixaDeTexto 1"/>
        <cdr:cNvSpPr txBox="1"/>
      </cdr:nvSpPr>
      <cdr:spPr>
        <a:xfrm xmlns:a="http://schemas.openxmlformats.org/drawingml/2006/main">
          <a:off x="3401359" y="487830"/>
          <a:ext cx="1086970" cy="25773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pt-PT" sz="1000">
              <a:solidFill>
                <a:schemeClr val="bg1"/>
              </a:solidFill>
            </a:rPr>
            <a:t>Tempo</a:t>
          </a:r>
          <a:r>
            <a:rPr lang="pt-PT" sz="1000" baseline="0">
              <a:solidFill>
                <a:schemeClr val="bg1"/>
              </a:solidFill>
            </a:rPr>
            <a:t> inactivo</a:t>
          </a:r>
        </a:p>
      </cdr:txBody>
    </cdr:sp>
  </cdr:relSizeAnchor>
</c:userShapes>
</file>

<file path=xl/drawings/drawing35.xml><?xml version="1.0" encoding="utf-8"?>
<c:userShapes xmlns:c="http://schemas.openxmlformats.org/drawingml/2006/chart">
  <cdr:relSizeAnchor xmlns:cdr="http://schemas.openxmlformats.org/drawingml/2006/chartDrawing">
    <cdr:from>
      <cdr:x>0.64618</cdr:x>
      <cdr:y>0.32947</cdr:y>
    </cdr:from>
    <cdr:to>
      <cdr:x>0.85613</cdr:x>
      <cdr:y>0.4959</cdr:y>
    </cdr:to>
    <cdr:sp macro="" textlink="">
      <cdr:nvSpPr>
        <cdr:cNvPr id="2" name="CaixaDeTexto 1"/>
        <cdr:cNvSpPr txBox="1"/>
      </cdr:nvSpPr>
      <cdr:spPr>
        <a:xfrm xmlns:a="http://schemas.openxmlformats.org/drawingml/2006/main">
          <a:off x="3345330" y="510242"/>
          <a:ext cx="1086970" cy="25773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pt-PT" sz="1000">
              <a:solidFill>
                <a:schemeClr val="bg1"/>
              </a:solidFill>
            </a:rPr>
            <a:t>Tempo</a:t>
          </a:r>
          <a:r>
            <a:rPr lang="pt-PT" sz="1000" baseline="0">
              <a:solidFill>
                <a:schemeClr val="bg1"/>
              </a:solidFill>
            </a:rPr>
            <a:t> inactivo</a:t>
          </a:r>
        </a:p>
      </cdr:txBody>
    </cdr:sp>
  </cdr:relSizeAnchor>
  <cdr:relSizeAnchor xmlns:cdr="http://schemas.openxmlformats.org/drawingml/2006/chartDrawing">
    <cdr:from>
      <cdr:x>0.86364</cdr:x>
      <cdr:y>0.47419</cdr:y>
    </cdr:from>
    <cdr:to>
      <cdr:x>1</cdr:x>
      <cdr:y>0.60926</cdr:y>
    </cdr:to>
    <cdr:sp macro="" textlink="">
      <cdr:nvSpPr>
        <cdr:cNvPr id="3" name="CaixaDeTexto 1"/>
        <cdr:cNvSpPr txBox="1"/>
      </cdr:nvSpPr>
      <cdr:spPr>
        <a:xfrm xmlns:a="http://schemas.openxmlformats.org/drawingml/2006/main">
          <a:off x="4471146" y="734359"/>
          <a:ext cx="705971" cy="20917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pt-PT" sz="1000" baseline="0">
              <a:solidFill>
                <a:schemeClr val="bg1"/>
              </a:solidFill>
            </a:rPr>
            <a:t>Tempo activo</a:t>
          </a:r>
          <a:endParaRPr lang="pt-PT" sz="1000">
            <a:solidFill>
              <a:schemeClr val="bg1"/>
            </a:solidFill>
          </a:endParaRPr>
        </a:p>
      </cdr:txBody>
    </cdr:sp>
  </cdr:relSizeAnchor>
</c:userShapes>
</file>

<file path=xl/drawings/drawing36.xml><?xml version="1.0" encoding="utf-8"?>
<c:userShapes xmlns:c="http://schemas.openxmlformats.org/drawingml/2006/chart">
  <cdr:relSizeAnchor xmlns:cdr="http://schemas.openxmlformats.org/drawingml/2006/chartDrawing">
    <cdr:from>
      <cdr:x>0.63968</cdr:x>
      <cdr:y>0.33671</cdr:y>
    </cdr:from>
    <cdr:to>
      <cdr:x>0.84964</cdr:x>
      <cdr:y>0.50313</cdr:y>
    </cdr:to>
    <cdr:sp macro="" textlink="">
      <cdr:nvSpPr>
        <cdr:cNvPr id="2" name="CaixaDeTexto 1"/>
        <cdr:cNvSpPr txBox="1"/>
      </cdr:nvSpPr>
      <cdr:spPr>
        <a:xfrm xmlns:a="http://schemas.openxmlformats.org/drawingml/2006/main">
          <a:off x="3311712" y="521446"/>
          <a:ext cx="1086970" cy="25773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pt-PT" sz="1000">
              <a:solidFill>
                <a:schemeClr val="bg1"/>
              </a:solidFill>
            </a:rPr>
            <a:t>Tempo</a:t>
          </a:r>
          <a:r>
            <a:rPr lang="pt-PT" sz="1000" baseline="0">
              <a:solidFill>
                <a:schemeClr val="bg1"/>
              </a:solidFill>
            </a:rPr>
            <a:t> inactivo</a:t>
          </a:r>
        </a:p>
      </cdr:txBody>
    </cdr:sp>
  </cdr:relSizeAnchor>
  <cdr:relSizeAnchor xmlns:cdr="http://schemas.openxmlformats.org/drawingml/2006/chartDrawing">
    <cdr:from>
      <cdr:x>0.85498</cdr:x>
      <cdr:y>0.47419</cdr:y>
    </cdr:from>
    <cdr:to>
      <cdr:x>0.99134</cdr:x>
      <cdr:y>0.60926</cdr:y>
    </cdr:to>
    <cdr:sp macro="" textlink="">
      <cdr:nvSpPr>
        <cdr:cNvPr id="3" name="CaixaDeTexto 1"/>
        <cdr:cNvSpPr txBox="1"/>
      </cdr:nvSpPr>
      <cdr:spPr>
        <a:xfrm xmlns:a="http://schemas.openxmlformats.org/drawingml/2006/main">
          <a:off x="4426322" y="734359"/>
          <a:ext cx="705971" cy="20917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pt-PT" sz="1000" baseline="0">
              <a:solidFill>
                <a:schemeClr val="bg1"/>
              </a:solidFill>
            </a:rPr>
            <a:t>Tempo activo</a:t>
          </a:r>
          <a:endParaRPr lang="pt-PT" sz="1000">
            <a:solidFill>
              <a:schemeClr val="bg1"/>
            </a:solidFill>
          </a:endParaRPr>
        </a:p>
      </cdr:txBody>
    </cdr:sp>
  </cdr:relSizeAnchor>
</c:userShapes>
</file>

<file path=xl/drawings/drawing37.xml><?xml version="1.0" encoding="utf-8"?>
<c:userShapes xmlns:c="http://schemas.openxmlformats.org/drawingml/2006/chart">
  <cdr:relSizeAnchor xmlns:cdr="http://schemas.openxmlformats.org/drawingml/2006/chartDrawing">
    <cdr:from>
      <cdr:x>0.63752</cdr:x>
      <cdr:y>0.32224</cdr:y>
    </cdr:from>
    <cdr:to>
      <cdr:x>0.84747</cdr:x>
      <cdr:y>0.48866</cdr:y>
    </cdr:to>
    <cdr:sp macro="" textlink="">
      <cdr:nvSpPr>
        <cdr:cNvPr id="2" name="CaixaDeTexto 1"/>
        <cdr:cNvSpPr txBox="1"/>
      </cdr:nvSpPr>
      <cdr:spPr>
        <a:xfrm xmlns:a="http://schemas.openxmlformats.org/drawingml/2006/main">
          <a:off x="3300506" y="499036"/>
          <a:ext cx="1086970" cy="25773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pt-PT" sz="1000">
              <a:solidFill>
                <a:schemeClr val="bg1"/>
              </a:solidFill>
            </a:rPr>
            <a:t>Tempo</a:t>
          </a:r>
          <a:r>
            <a:rPr lang="pt-PT" sz="1000" baseline="0">
              <a:solidFill>
                <a:schemeClr val="bg1"/>
              </a:solidFill>
            </a:rPr>
            <a:t> inactivo</a:t>
          </a:r>
        </a:p>
      </cdr:txBody>
    </cdr:sp>
  </cdr:relSizeAnchor>
  <cdr:relSizeAnchor xmlns:cdr="http://schemas.openxmlformats.org/drawingml/2006/chartDrawing">
    <cdr:from>
      <cdr:x>0.86364</cdr:x>
      <cdr:y>0.47419</cdr:y>
    </cdr:from>
    <cdr:to>
      <cdr:x>1</cdr:x>
      <cdr:y>0.60926</cdr:y>
    </cdr:to>
    <cdr:sp macro="" textlink="">
      <cdr:nvSpPr>
        <cdr:cNvPr id="3" name="CaixaDeTexto 1"/>
        <cdr:cNvSpPr txBox="1"/>
      </cdr:nvSpPr>
      <cdr:spPr>
        <a:xfrm xmlns:a="http://schemas.openxmlformats.org/drawingml/2006/main">
          <a:off x="4471146" y="734358"/>
          <a:ext cx="705971" cy="20917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pt-PT" sz="1000" baseline="0">
              <a:solidFill>
                <a:schemeClr val="bg1"/>
              </a:solidFill>
            </a:rPr>
            <a:t>Tempo activo</a:t>
          </a:r>
          <a:endParaRPr lang="pt-PT" sz="1000">
            <a:solidFill>
              <a:schemeClr val="bg1"/>
            </a:solidFill>
          </a:endParaRPr>
        </a:p>
      </cdr:txBody>
    </cdr:sp>
  </cdr:relSizeAnchor>
</c:userShapes>
</file>

<file path=xl/drawings/drawing38.xml><?xml version="1.0" encoding="utf-8"?>
<c:userShapes xmlns:c="http://schemas.openxmlformats.org/drawingml/2006/chart">
  <cdr:relSizeAnchor xmlns:cdr="http://schemas.openxmlformats.org/drawingml/2006/chartDrawing">
    <cdr:from>
      <cdr:x>0.64185</cdr:x>
      <cdr:y>0.315</cdr:y>
    </cdr:from>
    <cdr:to>
      <cdr:x>0.8518</cdr:x>
      <cdr:y>0.48143</cdr:y>
    </cdr:to>
    <cdr:sp macro="" textlink="">
      <cdr:nvSpPr>
        <cdr:cNvPr id="2" name="CaixaDeTexto 1"/>
        <cdr:cNvSpPr txBox="1"/>
      </cdr:nvSpPr>
      <cdr:spPr>
        <a:xfrm xmlns:a="http://schemas.openxmlformats.org/drawingml/2006/main">
          <a:off x="3322918" y="487830"/>
          <a:ext cx="1086970" cy="25773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pt-PT" sz="1000">
              <a:solidFill>
                <a:schemeClr val="bg1"/>
              </a:solidFill>
            </a:rPr>
            <a:t>Tempo</a:t>
          </a:r>
          <a:r>
            <a:rPr lang="pt-PT" sz="1000" baseline="0">
              <a:solidFill>
                <a:schemeClr val="bg1"/>
              </a:solidFill>
            </a:rPr>
            <a:t> inactivo</a:t>
          </a:r>
        </a:p>
      </cdr:txBody>
    </cdr:sp>
  </cdr:relSizeAnchor>
  <cdr:relSizeAnchor xmlns:cdr="http://schemas.openxmlformats.org/drawingml/2006/chartDrawing">
    <cdr:from>
      <cdr:x>0.86046</cdr:x>
      <cdr:y>0.48143</cdr:y>
    </cdr:from>
    <cdr:to>
      <cdr:x>0.99683</cdr:x>
      <cdr:y>0.6165</cdr:y>
    </cdr:to>
    <cdr:sp macro="" textlink="">
      <cdr:nvSpPr>
        <cdr:cNvPr id="3" name="CaixaDeTexto 1"/>
        <cdr:cNvSpPr txBox="1"/>
      </cdr:nvSpPr>
      <cdr:spPr>
        <a:xfrm xmlns:a="http://schemas.openxmlformats.org/drawingml/2006/main">
          <a:off x="4454711" y="745565"/>
          <a:ext cx="705971" cy="20917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pt-PT" sz="1000" baseline="0">
              <a:solidFill>
                <a:schemeClr val="bg1"/>
              </a:solidFill>
            </a:rPr>
            <a:t>Tempo activo</a:t>
          </a:r>
          <a:endParaRPr lang="pt-PT" sz="1000">
            <a:solidFill>
              <a:schemeClr val="bg1"/>
            </a:solidFill>
          </a:endParaRPr>
        </a:p>
      </cdr:txBody>
    </cdr:sp>
  </cdr:relSizeAnchor>
</c:userShapes>
</file>

<file path=xl/drawings/drawing39.xml><?xml version="1.0" encoding="utf-8"?>
<c:userShapes xmlns:c="http://schemas.openxmlformats.org/drawingml/2006/chart">
  <cdr:relSizeAnchor xmlns:cdr="http://schemas.openxmlformats.org/drawingml/2006/chartDrawing">
    <cdr:from>
      <cdr:x>0.29336</cdr:x>
      <cdr:y>0.30777</cdr:y>
    </cdr:from>
    <cdr:to>
      <cdr:x>0.50332</cdr:x>
      <cdr:y>0.47419</cdr:y>
    </cdr:to>
    <cdr:sp macro="" textlink="">
      <cdr:nvSpPr>
        <cdr:cNvPr id="2" name="CaixaDeTexto 1"/>
        <cdr:cNvSpPr txBox="1"/>
      </cdr:nvSpPr>
      <cdr:spPr>
        <a:xfrm xmlns:a="http://schemas.openxmlformats.org/drawingml/2006/main">
          <a:off x="1518770" y="476625"/>
          <a:ext cx="1086970" cy="25773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pt-PT" sz="1000">
              <a:solidFill>
                <a:schemeClr val="bg1"/>
              </a:solidFill>
            </a:rPr>
            <a:t>Tempo</a:t>
          </a:r>
          <a:r>
            <a:rPr lang="pt-PT" sz="1000" baseline="0">
              <a:solidFill>
                <a:schemeClr val="bg1"/>
              </a:solidFill>
            </a:rPr>
            <a:t> inactivo</a:t>
          </a:r>
        </a:p>
      </cdr:txBody>
    </cdr:sp>
  </cdr:relSizeAnchor>
  <cdr:relSizeAnchor xmlns:cdr="http://schemas.openxmlformats.org/drawingml/2006/chartDrawing">
    <cdr:from>
      <cdr:x>0.8583</cdr:x>
      <cdr:y>0.47419</cdr:y>
    </cdr:from>
    <cdr:to>
      <cdr:x>0.99466</cdr:x>
      <cdr:y>0.60926</cdr:y>
    </cdr:to>
    <cdr:sp macro="" textlink="">
      <cdr:nvSpPr>
        <cdr:cNvPr id="4" name="CaixaDeTexto 1"/>
        <cdr:cNvSpPr txBox="1"/>
      </cdr:nvSpPr>
      <cdr:spPr>
        <a:xfrm xmlns:a="http://schemas.openxmlformats.org/drawingml/2006/main">
          <a:off x="4443505" y="734358"/>
          <a:ext cx="705971" cy="20917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pt-PT" sz="1000" baseline="0">
              <a:solidFill>
                <a:schemeClr val="bg1"/>
              </a:solidFill>
            </a:rPr>
            <a:t>Tempo activo</a:t>
          </a:r>
          <a:endParaRPr lang="pt-PT" sz="1000">
            <a:solidFill>
              <a:schemeClr val="bg1"/>
            </a:solidFill>
          </a:endParaRPr>
        </a:p>
      </cdr:txBody>
    </cdr:sp>
  </cdr:relSizeAnchor>
</c:userShapes>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445297</xdr:colOff>
      <xdr:row>1</xdr:row>
      <xdr:rowOff>171450</xdr:rowOff>
    </xdr:to>
    <xdr:sp macro="" textlink="">
      <xdr:nvSpPr>
        <xdr:cNvPr id="5" name="Bisel 4">
          <a:hlinkClick xmlns:r="http://schemas.openxmlformats.org/officeDocument/2006/relationships" r:id="rId1"/>
        </xdr:cNvPr>
        <xdr:cNvSpPr/>
      </xdr:nvSpPr>
      <xdr:spPr>
        <a:xfrm>
          <a:off x="0" y="0"/>
          <a:ext cx="645322" cy="36195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PT" sz="1100"/>
            <a:t>Index</a:t>
          </a:r>
        </a:p>
      </xdr:txBody>
    </xdr:sp>
    <xdr:clientData/>
  </xdr:twoCellAnchor>
  <xdr:twoCellAnchor editAs="oneCell">
    <xdr:from>
      <xdr:col>4</xdr:col>
      <xdr:colOff>609600</xdr:colOff>
      <xdr:row>37</xdr:row>
      <xdr:rowOff>85725</xdr:rowOff>
    </xdr:from>
    <xdr:to>
      <xdr:col>5</xdr:col>
      <xdr:colOff>333375</xdr:colOff>
      <xdr:row>40</xdr:row>
      <xdr:rowOff>145066</xdr:rowOff>
    </xdr:to>
    <xdr:pic>
      <xdr:nvPicPr>
        <xdr:cNvPr id="2" name="Imagem 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000375" y="6943725"/>
          <a:ext cx="1057275" cy="630841"/>
        </a:xfrm>
        <a:prstGeom prst="rect">
          <a:avLst/>
        </a:prstGeom>
      </xdr:spPr>
    </xdr:pic>
    <xdr:clientData/>
  </xdr:twoCellAnchor>
  <xdr:twoCellAnchor editAs="oneCell">
    <xdr:from>
      <xdr:col>3</xdr:col>
      <xdr:colOff>47625</xdr:colOff>
      <xdr:row>42</xdr:row>
      <xdr:rowOff>180976</xdr:rowOff>
    </xdr:from>
    <xdr:to>
      <xdr:col>4</xdr:col>
      <xdr:colOff>209550</xdr:colOff>
      <xdr:row>46</xdr:row>
      <xdr:rowOff>48968</xdr:rowOff>
    </xdr:to>
    <xdr:pic>
      <xdr:nvPicPr>
        <xdr:cNvPr id="4" name="Imagem 3" descr="http://www.infoescola.com/wp-content/uploads/2009/08/full-1-d9e96191be.jpg"/>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743075" y="7991476"/>
          <a:ext cx="857250" cy="6299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0.xml><?xml version="1.0" encoding="utf-8"?>
<c:userShapes xmlns:c="http://schemas.openxmlformats.org/drawingml/2006/chart">
  <cdr:relSizeAnchor xmlns:cdr="http://schemas.openxmlformats.org/drawingml/2006/chartDrawing">
    <cdr:from>
      <cdr:x>0.52063</cdr:x>
      <cdr:y>0.30777</cdr:y>
    </cdr:from>
    <cdr:to>
      <cdr:x>0.73059</cdr:x>
      <cdr:y>0.47419</cdr:y>
    </cdr:to>
    <cdr:sp macro="" textlink="">
      <cdr:nvSpPr>
        <cdr:cNvPr id="3" name="CaixaDeTexto 1"/>
        <cdr:cNvSpPr txBox="1"/>
      </cdr:nvSpPr>
      <cdr:spPr>
        <a:xfrm xmlns:a="http://schemas.openxmlformats.org/drawingml/2006/main">
          <a:off x="2695388" y="476623"/>
          <a:ext cx="1086970" cy="25773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pt-PT" sz="1000">
              <a:solidFill>
                <a:schemeClr val="bg1"/>
              </a:solidFill>
            </a:rPr>
            <a:t>Tempo</a:t>
          </a:r>
          <a:r>
            <a:rPr lang="pt-PT" sz="1000" baseline="0">
              <a:solidFill>
                <a:schemeClr val="bg1"/>
              </a:solidFill>
            </a:rPr>
            <a:t> inactivo</a:t>
          </a:r>
        </a:p>
      </cdr:txBody>
    </cdr:sp>
  </cdr:relSizeAnchor>
  <cdr:relSizeAnchor xmlns:cdr="http://schemas.openxmlformats.org/drawingml/2006/chartDrawing">
    <cdr:from>
      <cdr:x>0.86364</cdr:x>
      <cdr:y>0.48143</cdr:y>
    </cdr:from>
    <cdr:to>
      <cdr:x>1</cdr:x>
      <cdr:y>0.6165</cdr:y>
    </cdr:to>
    <cdr:sp macro="" textlink="">
      <cdr:nvSpPr>
        <cdr:cNvPr id="4" name="CaixaDeTexto 1"/>
        <cdr:cNvSpPr txBox="1"/>
      </cdr:nvSpPr>
      <cdr:spPr>
        <a:xfrm xmlns:a="http://schemas.openxmlformats.org/drawingml/2006/main">
          <a:off x="4471147" y="745565"/>
          <a:ext cx="705971" cy="20917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pt-PT" sz="1000" baseline="0">
              <a:solidFill>
                <a:schemeClr val="bg1"/>
              </a:solidFill>
            </a:rPr>
            <a:t>Tempo activo</a:t>
          </a:r>
          <a:endParaRPr lang="pt-PT" sz="1000">
            <a:solidFill>
              <a:schemeClr val="bg1"/>
            </a:solidFill>
          </a:endParaRPr>
        </a:p>
      </cdr:txBody>
    </cdr:sp>
  </cdr:relSizeAnchor>
</c:userShapes>
</file>

<file path=xl/drawings/drawing41.xml><?xml version="1.0" encoding="utf-8"?>
<c:userShapes xmlns:c="http://schemas.openxmlformats.org/drawingml/2006/chart">
  <cdr:relSizeAnchor xmlns:cdr="http://schemas.openxmlformats.org/drawingml/2006/chartDrawing">
    <cdr:from>
      <cdr:x>0.63968</cdr:x>
      <cdr:y>0.30053</cdr:y>
    </cdr:from>
    <cdr:to>
      <cdr:x>0.84964</cdr:x>
      <cdr:y>0.46696</cdr:y>
    </cdr:to>
    <cdr:sp macro="" textlink="">
      <cdr:nvSpPr>
        <cdr:cNvPr id="2" name="CaixaDeTexto 1"/>
        <cdr:cNvSpPr txBox="1"/>
      </cdr:nvSpPr>
      <cdr:spPr>
        <a:xfrm xmlns:a="http://schemas.openxmlformats.org/drawingml/2006/main">
          <a:off x="3311712" y="465418"/>
          <a:ext cx="1086970" cy="25773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pt-PT" sz="1000">
              <a:solidFill>
                <a:schemeClr val="bg1"/>
              </a:solidFill>
            </a:rPr>
            <a:t>Tempo</a:t>
          </a:r>
          <a:r>
            <a:rPr lang="pt-PT" sz="1000" baseline="0">
              <a:solidFill>
                <a:schemeClr val="bg1"/>
              </a:solidFill>
            </a:rPr>
            <a:t> inactivo</a:t>
          </a:r>
        </a:p>
      </cdr:txBody>
    </cdr:sp>
  </cdr:relSizeAnchor>
  <cdr:relSizeAnchor xmlns:cdr="http://schemas.openxmlformats.org/drawingml/2006/chartDrawing">
    <cdr:from>
      <cdr:x>0.85714</cdr:x>
      <cdr:y>0.47419</cdr:y>
    </cdr:from>
    <cdr:to>
      <cdr:x>0.99351</cdr:x>
      <cdr:y>0.60926</cdr:y>
    </cdr:to>
    <cdr:sp macro="" textlink="">
      <cdr:nvSpPr>
        <cdr:cNvPr id="4" name="CaixaDeTexto 1"/>
        <cdr:cNvSpPr txBox="1"/>
      </cdr:nvSpPr>
      <cdr:spPr>
        <a:xfrm xmlns:a="http://schemas.openxmlformats.org/drawingml/2006/main">
          <a:off x="4437529" y="734359"/>
          <a:ext cx="705971" cy="20917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pt-PT" sz="1000" baseline="0">
              <a:solidFill>
                <a:schemeClr val="bg1"/>
              </a:solidFill>
            </a:rPr>
            <a:t>Tempo activo</a:t>
          </a:r>
          <a:endParaRPr lang="pt-PT" sz="1000">
            <a:solidFill>
              <a:schemeClr val="bg1"/>
            </a:solidFill>
          </a:endParaRPr>
        </a:p>
      </cdr:txBody>
    </cdr:sp>
  </cdr:relSizeAnchor>
</c:userShapes>
</file>

<file path=xl/drawings/drawing42.xml><?xml version="1.0" encoding="utf-8"?>
<c:userShapes xmlns:c="http://schemas.openxmlformats.org/drawingml/2006/chart">
  <cdr:relSizeAnchor xmlns:cdr="http://schemas.openxmlformats.org/drawingml/2006/chartDrawing">
    <cdr:from>
      <cdr:x>0.70029</cdr:x>
      <cdr:y>0.30053</cdr:y>
    </cdr:from>
    <cdr:to>
      <cdr:x>0.91025</cdr:x>
      <cdr:y>0.46696</cdr:y>
    </cdr:to>
    <cdr:sp macro="" textlink="">
      <cdr:nvSpPr>
        <cdr:cNvPr id="2" name="CaixaDeTexto 1"/>
        <cdr:cNvSpPr txBox="1"/>
      </cdr:nvSpPr>
      <cdr:spPr>
        <a:xfrm xmlns:a="http://schemas.openxmlformats.org/drawingml/2006/main">
          <a:off x="3625476" y="465417"/>
          <a:ext cx="1086970" cy="25773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pt-PT" sz="1000">
              <a:solidFill>
                <a:schemeClr val="bg1"/>
              </a:solidFill>
            </a:rPr>
            <a:t>Tempo</a:t>
          </a:r>
          <a:r>
            <a:rPr lang="pt-PT" sz="1000" baseline="0">
              <a:solidFill>
                <a:schemeClr val="bg1"/>
              </a:solidFill>
            </a:rPr>
            <a:t> inactivo</a:t>
          </a:r>
        </a:p>
      </cdr:txBody>
    </cdr:sp>
  </cdr:relSizeAnchor>
  <cdr:relSizeAnchor xmlns:cdr="http://schemas.openxmlformats.org/drawingml/2006/chartDrawing">
    <cdr:from>
      <cdr:x>0.79654</cdr:x>
      <cdr:y>0.71298</cdr:y>
    </cdr:from>
    <cdr:to>
      <cdr:x>0.98701</cdr:x>
      <cdr:y>0.83213</cdr:y>
    </cdr:to>
    <cdr:sp macro="" textlink="">
      <cdr:nvSpPr>
        <cdr:cNvPr id="3" name="CaixaDeTexto 1"/>
        <cdr:cNvSpPr txBox="1"/>
      </cdr:nvSpPr>
      <cdr:spPr>
        <a:xfrm xmlns:a="http://schemas.openxmlformats.org/drawingml/2006/main">
          <a:off x="4123765" y="1104153"/>
          <a:ext cx="986117" cy="18452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pt-PT" sz="1000" baseline="0">
              <a:solidFill>
                <a:schemeClr val="bg1"/>
              </a:solidFill>
            </a:rPr>
            <a:t>Tempo activo</a:t>
          </a:r>
          <a:endParaRPr lang="pt-PT" sz="1000">
            <a:solidFill>
              <a:schemeClr val="bg1"/>
            </a:solidFill>
          </a:endParaRPr>
        </a:p>
      </cdr:txBody>
    </cdr:sp>
  </cdr:relSizeAnchor>
</c:userShapes>
</file>

<file path=xl/drawings/drawing43.xml><?xml version="1.0" encoding="utf-8"?>
<c:userShapes xmlns:c="http://schemas.openxmlformats.org/drawingml/2006/chart">
  <cdr:relSizeAnchor xmlns:cdr="http://schemas.openxmlformats.org/drawingml/2006/chartDrawing">
    <cdr:from>
      <cdr:x>0.64185</cdr:x>
      <cdr:y>0.30777</cdr:y>
    </cdr:from>
    <cdr:to>
      <cdr:x>0.8518</cdr:x>
      <cdr:y>0.47419</cdr:y>
    </cdr:to>
    <cdr:sp macro="" textlink="">
      <cdr:nvSpPr>
        <cdr:cNvPr id="2" name="CaixaDeTexto 1"/>
        <cdr:cNvSpPr txBox="1"/>
      </cdr:nvSpPr>
      <cdr:spPr>
        <a:xfrm xmlns:a="http://schemas.openxmlformats.org/drawingml/2006/main">
          <a:off x="3322917" y="476623"/>
          <a:ext cx="1086970" cy="25773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pt-PT" sz="1000">
              <a:solidFill>
                <a:schemeClr val="bg1"/>
              </a:solidFill>
            </a:rPr>
            <a:t>Tempo</a:t>
          </a:r>
          <a:r>
            <a:rPr lang="pt-PT" sz="1000" baseline="0">
              <a:solidFill>
                <a:schemeClr val="bg1"/>
              </a:solidFill>
            </a:rPr>
            <a:t> inactivo</a:t>
          </a:r>
        </a:p>
      </cdr:txBody>
    </cdr:sp>
  </cdr:relSizeAnchor>
  <cdr:relSizeAnchor xmlns:cdr="http://schemas.openxmlformats.org/drawingml/2006/chartDrawing">
    <cdr:from>
      <cdr:x>0.85613</cdr:x>
      <cdr:y>0.47419</cdr:y>
    </cdr:from>
    <cdr:to>
      <cdr:x>0.9925</cdr:x>
      <cdr:y>0.60926</cdr:y>
    </cdr:to>
    <cdr:sp macro="" textlink="">
      <cdr:nvSpPr>
        <cdr:cNvPr id="3" name="CaixaDeTexto 1"/>
        <cdr:cNvSpPr txBox="1"/>
      </cdr:nvSpPr>
      <cdr:spPr>
        <a:xfrm xmlns:a="http://schemas.openxmlformats.org/drawingml/2006/main">
          <a:off x="4432300" y="734359"/>
          <a:ext cx="705971" cy="20917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pt-PT" sz="1000" baseline="0">
              <a:solidFill>
                <a:schemeClr val="bg1"/>
              </a:solidFill>
            </a:rPr>
            <a:t>Tempo activo</a:t>
          </a:r>
          <a:endParaRPr lang="pt-PT" sz="1000">
            <a:solidFill>
              <a:schemeClr val="bg1"/>
            </a:solidFill>
          </a:endParaRPr>
        </a:p>
      </cdr:txBody>
    </cdr:sp>
  </cdr:relSizeAnchor>
</c:userShapes>
</file>

<file path=xl/drawings/drawing44.xml><?xml version="1.0" encoding="utf-8"?>
<c:userShapes xmlns:c="http://schemas.openxmlformats.org/drawingml/2006/chart">
  <cdr:relSizeAnchor xmlns:cdr="http://schemas.openxmlformats.org/drawingml/2006/chartDrawing">
    <cdr:from>
      <cdr:x>0.63968</cdr:x>
      <cdr:y>0.30777</cdr:y>
    </cdr:from>
    <cdr:to>
      <cdr:x>0.84964</cdr:x>
      <cdr:y>0.47419</cdr:y>
    </cdr:to>
    <cdr:sp macro="" textlink="">
      <cdr:nvSpPr>
        <cdr:cNvPr id="2" name="CaixaDeTexto 1"/>
        <cdr:cNvSpPr txBox="1"/>
      </cdr:nvSpPr>
      <cdr:spPr>
        <a:xfrm xmlns:a="http://schemas.openxmlformats.org/drawingml/2006/main">
          <a:off x="3311711" y="476624"/>
          <a:ext cx="1086970" cy="25773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pt-PT" sz="1000">
              <a:solidFill>
                <a:schemeClr val="bg1"/>
              </a:solidFill>
            </a:rPr>
            <a:t>Tempo</a:t>
          </a:r>
          <a:r>
            <a:rPr lang="pt-PT" sz="1000" baseline="0">
              <a:solidFill>
                <a:schemeClr val="bg1"/>
              </a:solidFill>
            </a:rPr>
            <a:t> inactivo</a:t>
          </a:r>
        </a:p>
      </cdr:txBody>
    </cdr:sp>
  </cdr:relSizeAnchor>
  <cdr:relSizeAnchor xmlns:cdr="http://schemas.openxmlformats.org/drawingml/2006/chartDrawing">
    <cdr:from>
      <cdr:x>0.85397</cdr:x>
      <cdr:y>0.48143</cdr:y>
    </cdr:from>
    <cdr:to>
      <cdr:x>0.99033</cdr:x>
      <cdr:y>0.6165</cdr:y>
    </cdr:to>
    <cdr:sp macro="" textlink="">
      <cdr:nvSpPr>
        <cdr:cNvPr id="3" name="CaixaDeTexto 1"/>
        <cdr:cNvSpPr txBox="1"/>
      </cdr:nvSpPr>
      <cdr:spPr>
        <a:xfrm xmlns:a="http://schemas.openxmlformats.org/drawingml/2006/main">
          <a:off x="4421094" y="745564"/>
          <a:ext cx="705971" cy="20917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pt-PT" sz="1000" baseline="0">
              <a:solidFill>
                <a:schemeClr val="bg1"/>
              </a:solidFill>
            </a:rPr>
            <a:t>Tempo activo</a:t>
          </a:r>
          <a:endParaRPr lang="pt-PT" sz="1000">
            <a:solidFill>
              <a:schemeClr val="bg1"/>
            </a:solidFill>
          </a:endParaRPr>
        </a:p>
      </cdr:txBody>
    </cdr:sp>
  </cdr:relSizeAnchor>
</c:userShapes>
</file>

<file path=xl/drawings/drawing45.xml><?xml version="1.0" encoding="utf-8"?>
<c:userShapes xmlns:c="http://schemas.openxmlformats.org/drawingml/2006/chart">
  <cdr:relSizeAnchor xmlns:cdr="http://schemas.openxmlformats.org/drawingml/2006/chartDrawing">
    <cdr:from>
      <cdr:x>0.67811</cdr:x>
      <cdr:y>0.30618</cdr:y>
    </cdr:from>
    <cdr:to>
      <cdr:x>0.89224</cdr:x>
      <cdr:y>0.47261</cdr:y>
    </cdr:to>
    <cdr:sp macro="" textlink="">
      <cdr:nvSpPr>
        <cdr:cNvPr id="2" name="CaixaDeTexto 1"/>
        <cdr:cNvSpPr txBox="1"/>
      </cdr:nvSpPr>
      <cdr:spPr>
        <a:xfrm xmlns:a="http://schemas.openxmlformats.org/drawingml/2006/main">
          <a:off x="3525857" y="476917"/>
          <a:ext cx="1113364" cy="25922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pt-PT" sz="1000">
              <a:solidFill>
                <a:schemeClr val="bg1"/>
              </a:solidFill>
            </a:rPr>
            <a:t>Tempo</a:t>
          </a:r>
          <a:r>
            <a:rPr lang="pt-PT" sz="1000" baseline="0">
              <a:solidFill>
                <a:schemeClr val="bg1"/>
              </a:solidFill>
            </a:rPr>
            <a:t> inactivo</a:t>
          </a:r>
        </a:p>
      </cdr:txBody>
    </cdr:sp>
  </cdr:relSizeAnchor>
  <cdr:relSizeAnchor xmlns:cdr="http://schemas.openxmlformats.org/drawingml/2006/chartDrawing">
    <cdr:from>
      <cdr:x>0.85675</cdr:x>
      <cdr:y>0.47146</cdr:y>
    </cdr:from>
    <cdr:to>
      <cdr:x>0.99253</cdr:x>
      <cdr:y>0.60576</cdr:y>
    </cdr:to>
    <cdr:sp macro="" textlink="">
      <cdr:nvSpPr>
        <cdr:cNvPr id="3" name="CaixaDeTexto 1"/>
        <cdr:cNvSpPr txBox="1"/>
      </cdr:nvSpPr>
      <cdr:spPr>
        <a:xfrm xmlns:a="http://schemas.openxmlformats.org/drawingml/2006/main">
          <a:off x="4454711" y="734359"/>
          <a:ext cx="705971" cy="20917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pt-PT" sz="1000" baseline="0">
              <a:solidFill>
                <a:schemeClr val="bg1"/>
              </a:solidFill>
            </a:rPr>
            <a:t>Tempo activo</a:t>
          </a:r>
          <a:endParaRPr lang="pt-PT" sz="1000">
            <a:solidFill>
              <a:schemeClr val="bg1"/>
            </a:solidFill>
          </a:endParaRPr>
        </a:p>
      </cdr:txBody>
    </cdr:sp>
  </cdr:relSizeAnchor>
</c:userShapes>
</file>

<file path=xl/drawings/drawing46.xml><?xml version="1.0" encoding="utf-8"?>
<c:userShapes xmlns:c="http://schemas.openxmlformats.org/drawingml/2006/chart">
  <cdr:relSizeAnchor xmlns:cdr="http://schemas.openxmlformats.org/drawingml/2006/chartDrawing">
    <cdr:from>
      <cdr:x>0.68597</cdr:x>
      <cdr:y>0.31747</cdr:y>
    </cdr:from>
    <cdr:to>
      <cdr:x>0.9001</cdr:x>
      <cdr:y>0.4839</cdr:y>
    </cdr:to>
    <cdr:sp macro="" textlink="">
      <cdr:nvSpPr>
        <cdr:cNvPr id="2" name="CaixaDeTexto 1"/>
        <cdr:cNvSpPr txBox="1"/>
      </cdr:nvSpPr>
      <cdr:spPr>
        <a:xfrm xmlns:a="http://schemas.openxmlformats.org/drawingml/2006/main">
          <a:off x="3582111" y="487387"/>
          <a:ext cx="1118163" cy="2554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pt-PT" sz="1000">
              <a:solidFill>
                <a:schemeClr val="bg1"/>
              </a:solidFill>
            </a:rPr>
            <a:t>Tempo</a:t>
          </a:r>
          <a:r>
            <a:rPr lang="pt-PT" sz="1000" baseline="0">
              <a:solidFill>
                <a:schemeClr val="bg1"/>
              </a:solidFill>
            </a:rPr>
            <a:t> inactivo</a:t>
          </a:r>
        </a:p>
      </cdr:txBody>
    </cdr:sp>
  </cdr:relSizeAnchor>
  <cdr:relSizeAnchor xmlns:cdr="http://schemas.openxmlformats.org/drawingml/2006/chartDrawing">
    <cdr:from>
      <cdr:x>0.85737</cdr:x>
      <cdr:y>0.47835</cdr:y>
    </cdr:from>
    <cdr:to>
      <cdr:x>0.99256</cdr:x>
      <cdr:y>0.6146</cdr:y>
    </cdr:to>
    <cdr:sp macro="" textlink="">
      <cdr:nvSpPr>
        <cdr:cNvPr id="3" name="CaixaDeTexto 1"/>
        <cdr:cNvSpPr txBox="1"/>
      </cdr:nvSpPr>
      <cdr:spPr>
        <a:xfrm xmlns:a="http://schemas.openxmlformats.org/drawingml/2006/main">
          <a:off x="4477124" y="734359"/>
          <a:ext cx="705971" cy="20917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pt-PT" sz="1000" baseline="0">
              <a:solidFill>
                <a:schemeClr val="bg1"/>
              </a:solidFill>
            </a:rPr>
            <a:t>Tempo activo</a:t>
          </a:r>
          <a:endParaRPr lang="pt-PT" sz="1000">
            <a:solidFill>
              <a:schemeClr val="bg1"/>
            </a:solidFill>
          </a:endParaRPr>
        </a:p>
      </cdr:txBody>
    </cdr:sp>
  </cdr:relSizeAnchor>
</c:userShapes>
</file>

<file path=xl/drawings/drawing47.xml><?xml version="1.0" encoding="utf-8"?>
<c:userShapes xmlns:c="http://schemas.openxmlformats.org/drawingml/2006/chart">
  <cdr:relSizeAnchor xmlns:cdr="http://schemas.openxmlformats.org/drawingml/2006/chartDrawing">
    <cdr:from>
      <cdr:x>0.63473</cdr:x>
      <cdr:y>0.32224</cdr:y>
    </cdr:from>
    <cdr:to>
      <cdr:x>0.84886</cdr:x>
      <cdr:y>0.48866</cdr:y>
    </cdr:to>
    <cdr:sp macro="" textlink="">
      <cdr:nvSpPr>
        <cdr:cNvPr id="2" name="CaixaDeTexto 1"/>
        <cdr:cNvSpPr txBox="1"/>
      </cdr:nvSpPr>
      <cdr:spPr>
        <a:xfrm xmlns:a="http://schemas.openxmlformats.org/drawingml/2006/main">
          <a:off x="3222065" y="499035"/>
          <a:ext cx="1086970" cy="25773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pt-PT" sz="1000">
              <a:solidFill>
                <a:schemeClr val="bg1"/>
              </a:solidFill>
            </a:rPr>
            <a:t>Tempo</a:t>
          </a:r>
          <a:r>
            <a:rPr lang="pt-PT" sz="1000" baseline="0">
              <a:solidFill>
                <a:schemeClr val="bg1"/>
              </a:solidFill>
            </a:rPr>
            <a:t> inactivo</a:t>
          </a:r>
        </a:p>
      </cdr:txBody>
    </cdr:sp>
  </cdr:relSizeAnchor>
  <cdr:relSizeAnchor xmlns:cdr="http://schemas.openxmlformats.org/drawingml/2006/chartDrawing">
    <cdr:from>
      <cdr:x>0.85327</cdr:x>
      <cdr:y>0.48143</cdr:y>
    </cdr:from>
    <cdr:to>
      <cdr:x>0.99235</cdr:x>
      <cdr:y>0.6165</cdr:y>
    </cdr:to>
    <cdr:sp macro="" textlink="">
      <cdr:nvSpPr>
        <cdr:cNvPr id="3" name="CaixaDeTexto 1"/>
        <cdr:cNvSpPr txBox="1"/>
      </cdr:nvSpPr>
      <cdr:spPr>
        <a:xfrm xmlns:a="http://schemas.openxmlformats.org/drawingml/2006/main">
          <a:off x="4331447" y="745565"/>
          <a:ext cx="705971" cy="20917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pt-PT" sz="1000" baseline="0">
              <a:solidFill>
                <a:schemeClr val="bg1"/>
              </a:solidFill>
            </a:rPr>
            <a:t>Tempo activo</a:t>
          </a:r>
          <a:endParaRPr lang="pt-PT" sz="1000">
            <a:solidFill>
              <a:schemeClr val="bg1"/>
            </a:solidFill>
          </a:endParaRPr>
        </a:p>
      </cdr:txBody>
    </cdr:sp>
  </cdr:relSizeAnchor>
</c:userShapes>
</file>

<file path=xl/drawings/drawing48.xml><?xml version="1.0" encoding="utf-8"?>
<c:userShapes xmlns:c="http://schemas.openxmlformats.org/drawingml/2006/chart">
  <cdr:relSizeAnchor xmlns:cdr="http://schemas.openxmlformats.org/drawingml/2006/chartDrawing">
    <cdr:from>
      <cdr:x>0.55968</cdr:x>
      <cdr:y>0.30053</cdr:y>
    </cdr:from>
    <cdr:to>
      <cdr:x>0.7738</cdr:x>
      <cdr:y>0.46696</cdr:y>
    </cdr:to>
    <cdr:sp macro="" textlink="">
      <cdr:nvSpPr>
        <cdr:cNvPr id="2" name="CaixaDeTexto 1"/>
        <cdr:cNvSpPr txBox="1"/>
      </cdr:nvSpPr>
      <cdr:spPr>
        <a:xfrm xmlns:a="http://schemas.openxmlformats.org/drawingml/2006/main">
          <a:off x="2841065" y="465417"/>
          <a:ext cx="1086970" cy="25773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pt-PT" sz="1000">
              <a:solidFill>
                <a:schemeClr val="bg1"/>
              </a:solidFill>
            </a:rPr>
            <a:t>Tempo</a:t>
          </a:r>
          <a:r>
            <a:rPr lang="pt-PT" sz="1000" baseline="0">
              <a:solidFill>
                <a:schemeClr val="bg1"/>
              </a:solidFill>
            </a:rPr>
            <a:t> inactivo</a:t>
          </a:r>
        </a:p>
      </cdr:txBody>
    </cdr:sp>
  </cdr:relSizeAnchor>
  <cdr:relSizeAnchor xmlns:cdr="http://schemas.openxmlformats.org/drawingml/2006/chartDrawing">
    <cdr:from>
      <cdr:x>0.8599</cdr:x>
      <cdr:y>0.48143</cdr:y>
    </cdr:from>
    <cdr:to>
      <cdr:x>0.99897</cdr:x>
      <cdr:y>0.6165</cdr:y>
    </cdr:to>
    <cdr:sp macro="" textlink="">
      <cdr:nvSpPr>
        <cdr:cNvPr id="3" name="CaixaDeTexto 1"/>
        <cdr:cNvSpPr txBox="1"/>
      </cdr:nvSpPr>
      <cdr:spPr>
        <a:xfrm xmlns:a="http://schemas.openxmlformats.org/drawingml/2006/main">
          <a:off x="4365065" y="745565"/>
          <a:ext cx="705971" cy="20917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pt-PT" sz="1000" baseline="0">
              <a:solidFill>
                <a:schemeClr val="bg1"/>
              </a:solidFill>
            </a:rPr>
            <a:t>Tempo activo</a:t>
          </a:r>
          <a:endParaRPr lang="pt-PT" sz="1000">
            <a:solidFill>
              <a:schemeClr val="bg1"/>
            </a:solidFill>
          </a:endParaRPr>
        </a:p>
      </cdr:txBody>
    </cdr:sp>
  </cdr:relSizeAnchor>
</c:userShapes>
</file>

<file path=xl/drawings/drawing49.xml><?xml version="1.0" encoding="utf-8"?>
<c:userShapes xmlns:c="http://schemas.openxmlformats.org/drawingml/2006/chart">
  <cdr:relSizeAnchor xmlns:cdr="http://schemas.openxmlformats.org/drawingml/2006/chartDrawing">
    <cdr:from>
      <cdr:x>0.63694</cdr:x>
      <cdr:y>0.30777</cdr:y>
    </cdr:from>
    <cdr:to>
      <cdr:x>0.85107</cdr:x>
      <cdr:y>0.47419</cdr:y>
    </cdr:to>
    <cdr:sp macro="" textlink="">
      <cdr:nvSpPr>
        <cdr:cNvPr id="2" name="CaixaDeTexto 1"/>
        <cdr:cNvSpPr txBox="1"/>
      </cdr:nvSpPr>
      <cdr:spPr>
        <a:xfrm xmlns:a="http://schemas.openxmlformats.org/drawingml/2006/main">
          <a:off x="3233270" y="476624"/>
          <a:ext cx="1086970" cy="25773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pt-PT" sz="1000">
              <a:solidFill>
                <a:schemeClr val="bg1"/>
              </a:solidFill>
            </a:rPr>
            <a:t>Tempo</a:t>
          </a:r>
          <a:r>
            <a:rPr lang="pt-PT" sz="1000" baseline="0">
              <a:solidFill>
                <a:schemeClr val="bg1"/>
              </a:solidFill>
            </a:rPr>
            <a:t> inactivo</a:t>
          </a:r>
        </a:p>
      </cdr:txBody>
    </cdr:sp>
  </cdr:relSizeAnchor>
  <cdr:relSizeAnchor xmlns:cdr="http://schemas.openxmlformats.org/drawingml/2006/chartDrawing">
    <cdr:from>
      <cdr:x>0.85327</cdr:x>
      <cdr:y>0.47419</cdr:y>
    </cdr:from>
    <cdr:to>
      <cdr:x>0.99235</cdr:x>
      <cdr:y>0.60926</cdr:y>
    </cdr:to>
    <cdr:sp macro="" textlink="">
      <cdr:nvSpPr>
        <cdr:cNvPr id="3" name="CaixaDeTexto 1"/>
        <cdr:cNvSpPr txBox="1"/>
      </cdr:nvSpPr>
      <cdr:spPr>
        <a:xfrm xmlns:a="http://schemas.openxmlformats.org/drawingml/2006/main">
          <a:off x="4331447" y="734359"/>
          <a:ext cx="705971" cy="20917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pt-PT" sz="1000" baseline="0">
              <a:solidFill>
                <a:schemeClr val="bg1"/>
              </a:solidFill>
            </a:rPr>
            <a:t>Tempo activo</a:t>
          </a:r>
          <a:endParaRPr lang="pt-PT" sz="1000">
            <a:solidFill>
              <a:schemeClr val="bg1"/>
            </a:solidFill>
          </a:endParaRPr>
        </a:p>
      </cdr:txBody>
    </cdr:sp>
  </cdr:relSizeAnchor>
</c:userShapes>
</file>

<file path=xl/drawings/drawing5.xml><?xml version="1.0" encoding="utf-8"?>
<xdr:wsDr xmlns:xdr="http://schemas.openxmlformats.org/drawingml/2006/spreadsheetDrawing" xmlns:a="http://schemas.openxmlformats.org/drawingml/2006/main">
  <xdr:twoCellAnchor>
    <xdr:from>
      <xdr:col>10</xdr:col>
      <xdr:colOff>285751</xdr:colOff>
      <xdr:row>4</xdr:row>
      <xdr:rowOff>76200</xdr:rowOff>
    </xdr:from>
    <xdr:to>
      <xdr:col>19</xdr:col>
      <xdr:colOff>403412</xdr:colOff>
      <xdr:row>12</xdr:row>
      <xdr:rowOff>123265</xdr:rowOff>
    </xdr:to>
    <xdr:graphicFrame macro="">
      <xdr:nvGraphicFramePr>
        <xdr:cNvPr id="4" name="Gráfico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14287</xdr:colOff>
      <xdr:row>4</xdr:row>
      <xdr:rowOff>61912</xdr:rowOff>
    </xdr:from>
    <xdr:to>
      <xdr:col>28</xdr:col>
      <xdr:colOff>493059</xdr:colOff>
      <xdr:row>12</xdr:row>
      <xdr:rowOff>168088</xdr:rowOff>
    </xdr:to>
    <xdr:graphicFrame macro="">
      <xdr:nvGraphicFramePr>
        <xdr:cNvPr id="5" name="Gráfico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20</xdr:col>
      <xdr:colOff>9245</xdr:colOff>
      <xdr:row>13</xdr:row>
      <xdr:rowOff>68076</xdr:rowOff>
    </xdr:from>
    <xdr:to>
      <xdr:col>28</xdr:col>
      <xdr:colOff>493059</xdr:colOff>
      <xdr:row>22</xdr:row>
      <xdr:rowOff>11206</xdr:rowOff>
    </xdr:to>
    <xdr:graphicFrame macro="">
      <xdr:nvGraphicFramePr>
        <xdr:cNvPr id="6" name="Gráfico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20</xdr:col>
      <xdr:colOff>12607</xdr:colOff>
      <xdr:row>22</xdr:row>
      <xdr:rowOff>147637</xdr:rowOff>
    </xdr:from>
    <xdr:to>
      <xdr:col>28</xdr:col>
      <xdr:colOff>489137</xdr:colOff>
      <xdr:row>31</xdr:row>
      <xdr:rowOff>95249</xdr:rowOff>
    </xdr:to>
    <xdr:graphicFrame macro="">
      <xdr:nvGraphicFramePr>
        <xdr:cNvPr id="7" name="Gráfico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29</xdr:col>
      <xdr:colOff>90487</xdr:colOff>
      <xdr:row>4</xdr:row>
      <xdr:rowOff>61912</xdr:rowOff>
    </xdr:from>
    <xdr:to>
      <xdr:col>37</xdr:col>
      <xdr:colOff>581025</xdr:colOff>
      <xdr:row>13</xdr:row>
      <xdr:rowOff>9524</xdr:rowOff>
    </xdr:to>
    <xdr:graphicFrame macro="">
      <xdr:nvGraphicFramePr>
        <xdr:cNvPr id="8" name="Gráfico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29</xdr:col>
      <xdr:colOff>85725</xdr:colOff>
      <xdr:row>13</xdr:row>
      <xdr:rowOff>85725</xdr:rowOff>
    </xdr:from>
    <xdr:to>
      <xdr:col>37</xdr:col>
      <xdr:colOff>576263</xdr:colOff>
      <xdr:row>22</xdr:row>
      <xdr:rowOff>33337</xdr:rowOff>
    </xdr:to>
    <xdr:graphicFrame macro="">
      <xdr:nvGraphicFramePr>
        <xdr:cNvPr id="9" name="Gráfico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38</xdr:col>
      <xdr:colOff>201084</xdr:colOff>
      <xdr:row>4</xdr:row>
      <xdr:rowOff>74083</xdr:rowOff>
    </xdr:from>
    <xdr:to>
      <xdr:col>47</xdr:col>
      <xdr:colOff>77789</xdr:colOff>
      <xdr:row>13</xdr:row>
      <xdr:rowOff>21695</xdr:rowOff>
    </xdr:to>
    <xdr:graphicFrame macro="">
      <xdr:nvGraphicFramePr>
        <xdr:cNvPr id="10" name="Gráfico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47</xdr:col>
      <xdr:colOff>158750</xdr:colOff>
      <xdr:row>4</xdr:row>
      <xdr:rowOff>84667</xdr:rowOff>
    </xdr:from>
    <xdr:to>
      <xdr:col>56</xdr:col>
      <xdr:colOff>35455</xdr:colOff>
      <xdr:row>13</xdr:row>
      <xdr:rowOff>32279</xdr:rowOff>
    </xdr:to>
    <xdr:graphicFrame macro="">
      <xdr:nvGraphicFramePr>
        <xdr:cNvPr id="11" name="Gráfico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47</xdr:col>
      <xdr:colOff>148166</xdr:colOff>
      <xdr:row>13</xdr:row>
      <xdr:rowOff>148167</xdr:rowOff>
    </xdr:from>
    <xdr:to>
      <xdr:col>56</xdr:col>
      <xdr:colOff>24871</xdr:colOff>
      <xdr:row>22</xdr:row>
      <xdr:rowOff>95779</xdr:rowOff>
    </xdr:to>
    <xdr:graphicFrame macro="">
      <xdr:nvGraphicFramePr>
        <xdr:cNvPr id="12" name="Gráfico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47</xdr:col>
      <xdr:colOff>148166</xdr:colOff>
      <xdr:row>23</xdr:row>
      <xdr:rowOff>31750</xdr:rowOff>
    </xdr:from>
    <xdr:to>
      <xdr:col>56</xdr:col>
      <xdr:colOff>24871</xdr:colOff>
      <xdr:row>31</xdr:row>
      <xdr:rowOff>169862</xdr:rowOff>
    </xdr:to>
    <xdr:graphicFrame macro="">
      <xdr:nvGraphicFramePr>
        <xdr:cNvPr id="13" name="Gráfico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0</xdr:colOff>
      <xdr:row>0</xdr:row>
      <xdr:rowOff>0</xdr:rowOff>
    </xdr:from>
    <xdr:to>
      <xdr:col>0</xdr:col>
      <xdr:colOff>645322</xdr:colOff>
      <xdr:row>1</xdr:row>
      <xdr:rowOff>171450</xdr:rowOff>
    </xdr:to>
    <xdr:sp macro="" textlink="">
      <xdr:nvSpPr>
        <xdr:cNvPr id="15" name="Bisel 14">
          <a:hlinkClick xmlns:r="http://schemas.openxmlformats.org/officeDocument/2006/relationships" r:id="rId11"/>
        </xdr:cNvPr>
        <xdr:cNvSpPr/>
      </xdr:nvSpPr>
      <xdr:spPr>
        <a:xfrm>
          <a:off x="0" y="0"/>
          <a:ext cx="645322" cy="36195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PT" sz="1100"/>
            <a:t>Index</a:t>
          </a:r>
        </a:p>
      </xdr:txBody>
    </xdr:sp>
    <xdr:clientData/>
  </xdr:twoCellAnchor>
</xdr:wsDr>
</file>

<file path=xl/drawings/drawing50.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645322</xdr:colOff>
      <xdr:row>1</xdr:row>
      <xdr:rowOff>95250</xdr:rowOff>
    </xdr:to>
    <xdr:sp macro="" textlink="">
      <xdr:nvSpPr>
        <xdr:cNvPr id="2" name="Bisel 1">
          <a:hlinkClick xmlns:r="http://schemas.openxmlformats.org/officeDocument/2006/relationships" r:id="rId1"/>
        </xdr:cNvPr>
        <xdr:cNvSpPr/>
      </xdr:nvSpPr>
      <xdr:spPr>
        <a:xfrm>
          <a:off x="0" y="0"/>
          <a:ext cx="645322" cy="36195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PT" sz="1100"/>
            <a:t>Index</a:t>
          </a:r>
        </a:p>
      </xdr:txBody>
    </xdr:sp>
    <xdr:clientData/>
  </xdr:twoCellAnchor>
</xdr:wsDr>
</file>

<file path=xl/drawings/drawing51.xml><?xml version="1.0" encoding="utf-8"?>
<xdr:wsDr xmlns:xdr="http://schemas.openxmlformats.org/drawingml/2006/spreadsheetDrawing" xmlns:a="http://schemas.openxmlformats.org/drawingml/2006/main">
  <xdr:twoCellAnchor>
    <xdr:from>
      <xdr:col>0</xdr:col>
      <xdr:colOff>114300</xdr:colOff>
      <xdr:row>53</xdr:row>
      <xdr:rowOff>85724</xdr:rowOff>
    </xdr:from>
    <xdr:to>
      <xdr:col>8</xdr:col>
      <xdr:colOff>1266825</xdr:colOff>
      <xdr:row>67</xdr:row>
      <xdr:rowOff>133349</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342899</xdr:colOff>
      <xdr:row>1</xdr:row>
      <xdr:rowOff>0</xdr:rowOff>
    </xdr:from>
    <xdr:to>
      <xdr:col>14</xdr:col>
      <xdr:colOff>409575</xdr:colOff>
      <xdr:row>7</xdr:row>
      <xdr:rowOff>66675</xdr:rowOff>
    </xdr:to>
    <xdr:graphicFrame macro="">
      <xdr:nvGraphicFramePr>
        <xdr:cNvPr id="3"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333375</xdr:colOff>
      <xdr:row>14</xdr:row>
      <xdr:rowOff>28575</xdr:rowOff>
    </xdr:from>
    <xdr:to>
      <xdr:col>18</xdr:col>
      <xdr:colOff>600075</xdr:colOff>
      <xdr:row>21</xdr:row>
      <xdr:rowOff>95250</xdr:rowOff>
    </xdr:to>
    <xdr:graphicFrame macro="">
      <xdr:nvGraphicFramePr>
        <xdr:cNvPr id="4" name="Gráfico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333375</xdr:colOff>
      <xdr:row>21</xdr:row>
      <xdr:rowOff>133350</xdr:rowOff>
    </xdr:from>
    <xdr:to>
      <xdr:col>18</xdr:col>
      <xdr:colOff>590550</xdr:colOff>
      <xdr:row>28</xdr:row>
      <xdr:rowOff>133350</xdr:rowOff>
    </xdr:to>
    <xdr:graphicFrame macro="">
      <xdr:nvGraphicFramePr>
        <xdr:cNvPr id="5" name="Gráfico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xdr:col>
      <xdr:colOff>342900</xdr:colOff>
      <xdr:row>29</xdr:row>
      <xdr:rowOff>9526</xdr:rowOff>
    </xdr:from>
    <xdr:to>
      <xdr:col>14</xdr:col>
      <xdr:colOff>400050</xdr:colOff>
      <xdr:row>35</xdr:row>
      <xdr:rowOff>28576</xdr:rowOff>
    </xdr:to>
    <xdr:graphicFrame macro="">
      <xdr:nvGraphicFramePr>
        <xdr:cNvPr id="6" name="Gráfico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333375</xdr:colOff>
      <xdr:row>35</xdr:row>
      <xdr:rowOff>123825</xdr:rowOff>
    </xdr:from>
    <xdr:to>
      <xdr:col>14</xdr:col>
      <xdr:colOff>381000</xdr:colOff>
      <xdr:row>42</xdr:row>
      <xdr:rowOff>133350</xdr:rowOff>
    </xdr:to>
    <xdr:graphicFrame macro="">
      <xdr:nvGraphicFramePr>
        <xdr:cNvPr id="7" name="Gráfico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9</xdr:col>
      <xdr:colOff>342900</xdr:colOff>
      <xdr:row>7</xdr:row>
      <xdr:rowOff>114300</xdr:rowOff>
    </xdr:from>
    <xdr:to>
      <xdr:col>14</xdr:col>
      <xdr:colOff>409576</xdr:colOff>
      <xdr:row>13</xdr:row>
      <xdr:rowOff>180975</xdr:rowOff>
    </xdr:to>
    <xdr:graphicFrame macro="">
      <xdr:nvGraphicFramePr>
        <xdr:cNvPr id="8" name="Gráfico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0</xdr:colOff>
      <xdr:row>0</xdr:row>
      <xdr:rowOff>0</xdr:rowOff>
    </xdr:from>
    <xdr:to>
      <xdr:col>1</xdr:col>
      <xdr:colOff>445297</xdr:colOff>
      <xdr:row>1</xdr:row>
      <xdr:rowOff>171450</xdr:rowOff>
    </xdr:to>
    <xdr:sp macro="" textlink="">
      <xdr:nvSpPr>
        <xdr:cNvPr id="9" name="Bisel 8">
          <a:hlinkClick xmlns:r="http://schemas.openxmlformats.org/officeDocument/2006/relationships" r:id="rId8"/>
        </xdr:cNvPr>
        <xdr:cNvSpPr/>
      </xdr:nvSpPr>
      <xdr:spPr>
        <a:xfrm>
          <a:off x="0" y="0"/>
          <a:ext cx="645322" cy="36195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PT" sz="1100"/>
            <a:t>Index</a:t>
          </a:r>
        </a:p>
      </xdr:txBody>
    </xdr:sp>
    <xdr:clientData/>
  </xdr:twoCellAnchor>
</xdr:wsDr>
</file>

<file path=xl/drawings/drawing52.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445297</xdr:colOff>
      <xdr:row>1</xdr:row>
      <xdr:rowOff>171450</xdr:rowOff>
    </xdr:to>
    <xdr:sp macro="" textlink="">
      <xdr:nvSpPr>
        <xdr:cNvPr id="2" name="Bisel 1">
          <a:hlinkClick xmlns:r="http://schemas.openxmlformats.org/officeDocument/2006/relationships" r:id="rId1"/>
        </xdr:cNvPr>
        <xdr:cNvSpPr/>
      </xdr:nvSpPr>
      <xdr:spPr>
        <a:xfrm>
          <a:off x="0" y="0"/>
          <a:ext cx="645322" cy="36195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PT" sz="1100"/>
            <a:t>Index</a:t>
          </a:r>
        </a:p>
      </xdr:txBody>
    </xdr:sp>
    <xdr:clientData/>
  </xdr:twoCellAnchor>
  <xdr:twoCellAnchor editAs="oneCell">
    <xdr:from>
      <xdr:col>4</xdr:col>
      <xdr:colOff>609600</xdr:colOff>
      <xdr:row>65</xdr:row>
      <xdr:rowOff>85725</xdr:rowOff>
    </xdr:from>
    <xdr:to>
      <xdr:col>5</xdr:col>
      <xdr:colOff>333375</xdr:colOff>
      <xdr:row>68</xdr:row>
      <xdr:rowOff>145066</xdr:rowOff>
    </xdr:to>
    <xdr:pic>
      <xdr:nvPicPr>
        <xdr:cNvPr id="3" name="Imagem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000375" y="11515725"/>
          <a:ext cx="1057275" cy="630841"/>
        </a:xfrm>
        <a:prstGeom prst="rect">
          <a:avLst/>
        </a:prstGeom>
      </xdr:spPr>
    </xdr:pic>
    <xdr:clientData/>
  </xdr:twoCellAnchor>
  <xdr:twoCellAnchor editAs="oneCell">
    <xdr:from>
      <xdr:col>3</xdr:col>
      <xdr:colOff>47625</xdr:colOff>
      <xdr:row>70</xdr:row>
      <xdr:rowOff>180976</xdr:rowOff>
    </xdr:from>
    <xdr:to>
      <xdr:col>4</xdr:col>
      <xdr:colOff>209550</xdr:colOff>
      <xdr:row>74</xdr:row>
      <xdr:rowOff>48968</xdr:rowOff>
    </xdr:to>
    <xdr:pic>
      <xdr:nvPicPr>
        <xdr:cNvPr id="4" name="Imagem 3" descr="http://www.infoescola.com/wp-content/uploads/2009/08/full-1-d9e96191be.jpg"/>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743075" y="12563476"/>
          <a:ext cx="857250" cy="6299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645322</xdr:colOff>
      <xdr:row>1</xdr:row>
      <xdr:rowOff>171450</xdr:rowOff>
    </xdr:to>
    <xdr:sp macro="" textlink="">
      <xdr:nvSpPr>
        <xdr:cNvPr id="2" name="Bisel 1">
          <a:hlinkClick xmlns:r="http://schemas.openxmlformats.org/officeDocument/2006/relationships" r:id="rId1"/>
        </xdr:cNvPr>
        <xdr:cNvSpPr/>
      </xdr:nvSpPr>
      <xdr:spPr>
        <a:xfrm>
          <a:off x="0" y="0"/>
          <a:ext cx="645322" cy="36195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PT" sz="1100"/>
            <a:t>Index</a:t>
          </a:r>
        </a:p>
      </xdr:txBody>
    </xdr:sp>
    <xdr:clientData/>
  </xdr:twoCellAnchor>
  <xdr:twoCellAnchor>
    <xdr:from>
      <xdr:col>10</xdr:col>
      <xdr:colOff>268942</xdr:colOff>
      <xdr:row>4</xdr:row>
      <xdr:rowOff>103936</xdr:rowOff>
    </xdr:from>
    <xdr:to>
      <xdr:col>21</xdr:col>
      <xdr:colOff>593911</xdr:colOff>
      <xdr:row>12</xdr:row>
      <xdr:rowOff>179294</xdr:rowOff>
    </xdr:to>
    <xdr:graphicFrame macro="">
      <xdr:nvGraphicFramePr>
        <xdr:cNvPr id="3"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268941</xdr:colOff>
      <xdr:row>13</xdr:row>
      <xdr:rowOff>78441</xdr:rowOff>
    </xdr:from>
    <xdr:to>
      <xdr:col>21</xdr:col>
      <xdr:colOff>593910</xdr:colOff>
      <xdr:row>21</xdr:row>
      <xdr:rowOff>67234</xdr:rowOff>
    </xdr:to>
    <xdr:graphicFrame macro="">
      <xdr:nvGraphicFramePr>
        <xdr:cNvPr id="4" name="Gráfico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100854</xdr:colOff>
      <xdr:row>4</xdr:row>
      <xdr:rowOff>78441</xdr:rowOff>
    </xdr:from>
    <xdr:to>
      <xdr:col>30</xdr:col>
      <xdr:colOff>425825</xdr:colOff>
      <xdr:row>13</xdr:row>
      <xdr:rowOff>0</xdr:rowOff>
    </xdr:to>
    <xdr:graphicFrame macro="">
      <xdr:nvGraphicFramePr>
        <xdr:cNvPr id="19" name="Gráfico 1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22</xdr:col>
      <xdr:colOff>112058</xdr:colOff>
      <xdr:row>13</xdr:row>
      <xdr:rowOff>75360</xdr:rowOff>
    </xdr:from>
    <xdr:to>
      <xdr:col>30</xdr:col>
      <xdr:colOff>437030</xdr:colOff>
      <xdr:row>21</xdr:row>
      <xdr:rowOff>56029</xdr:rowOff>
    </xdr:to>
    <xdr:graphicFrame macro="">
      <xdr:nvGraphicFramePr>
        <xdr:cNvPr id="20" name="Gráfico 1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30</xdr:col>
      <xdr:colOff>515470</xdr:colOff>
      <xdr:row>4</xdr:row>
      <xdr:rowOff>78441</xdr:rowOff>
    </xdr:from>
    <xdr:to>
      <xdr:col>39</xdr:col>
      <xdr:colOff>235325</xdr:colOff>
      <xdr:row>13</xdr:row>
      <xdr:rowOff>0</xdr:rowOff>
    </xdr:to>
    <xdr:graphicFrame macro="">
      <xdr:nvGraphicFramePr>
        <xdr:cNvPr id="21" name="Gráfico 2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30</xdr:col>
      <xdr:colOff>526674</xdr:colOff>
      <xdr:row>13</xdr:row>
      <xdr:rowOff>75360</xdr:rowOff>
    </xdr:from>
    <xdr:to>
      <xdr:col>39</xdr:col>
      <xdr:colOff>246530</xdr:colOff>
      <xdr:row>21</xdr:row>
      <xdr:rowOff>56029</xdr:rowOff>
    </xdr:to>
    <xdr:graphicFrame macro="">
      <xdr:nvGraphicFramePr>
        <xdr:cNvPr id="22" name="Gráfico 2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30</xdr:col>
      <xdr:colOff>526677</xdr:colOff>
      <xdr:row>21</xdr:row>
      <xdr:rowOff>134470</xdr:rowOff>
    </xdr:from>
    <xdr:to>
      <xdr:col>39</xdr:col>
      <xdr:colOff>246533</xdr:colOff>
      <xdr:row>29</xdr:row>
      <xdr:rowOff>115139</xdr:rowOff>
    </xdr:to>
    <xdr:graphicFrame macro="">
      <xdr:nvGraphicFramePr>
        <xdr:cNvPr id="23" name="Gráfico 2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39</xdr:col>
      <xdr:colOff>324971</xdr:colOff>
      <xdr:row>4</xdr:row>
      <xdr:rowOff>78441</xdr:rowOff>
    </xdr:from>
    <xdr:to>
      <xdr:col>48</xdr:col>
      <xdr:colOff>44826</xdr:colOff>
      <xdr:row>13</xdr:row>
      <xdr:rowOff>0</xdr:rowOff>
    </xdr:to>
    <xdr:graphicFrame macro="">
      <xdr:nvGraphicFramePr>
        <xdr:cNvPr id="24" name="Gráfico 2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39</xdr:col>
      <xdr:colOff>336175</xdr:colOff>
      <xdr:row>13</xdr:row>
      <xdr:rowOff>75360</xdr:rowOff>
    </xdr:from>
    <xdr:to>
      <xdr:col>48</xdr:col>
      <xdr:colOff>56031</xdr:colOff>
      <xdr:row>21</xdr:row>
      <xdr:rowOff>56029</xdr:rowOff>
    </xdr:to>
    <xdr:graphicFrame macro="">
      <xdr:nvGraphicFramePr>
        <xdr:cNvPr id="25" name="Gráfico 2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39</xdr:col>
      <xdr:colOff>336178</xdr:colOff>
      <xdr:row>21</xdr:row>
      <xdr:rowOff>134470</xdr:rowOff>
    </xdr:from>
    <xdr:to>
      <xdr:col>48</xdr:col>
      <xdr:colOff>56034</xdr:colOff>
      <xdr:row>29</xdr:row>
      <xdr:rowOff>115139</xdr:rowOff>
    </xdr:to>
    <xdr:graphicFrame macro="">
      <xdr:nvGraphicFramePr>
        <xdr:cNvPr id="26" name="Gráfico 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39</xdr:col>
      <xdr:colOff>336177</xdr:colOff>
      <xdr:row>30</xdr:row>
      <xdr:rowOff>11206</xdr:rowOff>
    </xdr:from>
    <xdr:to>
      <xdr:col>48</xdr:col>
      <xdr:colOff>56033</xdr:colOff>
      <xdr:row>37</xdr:row>
      <xdr:rowOff>182375</xdr:rowOff>
    </xdr:to>
    <xdr:graphicFrame macro="">
      <xdr:nvGraphicFramePr>
        <xdr:cNvPr id="27" name="Gráfico 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48</xdr:col>
      <xdr:colOff>156883</xdr:colOff>
      <xdr:row>4</xdr:row>
      <xdr:rowOff>78441</xdr:rowOff>
    </xdr:from>
    <xdr:to>
      <xdr:col>56</xdr:col>
      <xdr:colOff>481856</xdr:colOff>
      <xdr:row>13</xdr:row>
      <xdr:rowOff>0</xdr:rowOff>
    </xdr:to>
    <xdr:graphicFrame macro="">
      <xdr:nvGraphicFramePr>
        <xdr:cNvPr id="28" name="Gráfico 2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48</xdr:col>
      <xdr:colOff>168087</xdr:colOff>
      <xdr:row>13</xdr:row>
      <xdr:rowOff>75360</xdr:rowOff>
    </xdr:from>
    <xdr:to>
      <xdr:col>56</xdr:col>
      <xdr:colOff>493061</xdr:colOff>
      <xdr:row>21</xdr:row>
      <xdr:rowOff>56029</xdr:rowOff>
    </xdr:to>
    <xdr:graphicFrame macro="">
      <xdr:nvGraphicFramePr>
        <xdr:cNvPr id="29" name="Gráfico 2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57</xdr:col>
      <xdr:colOff>0</xdr:colOff>
      <xdr:row>4</xdr:row>
      <xdr:rowOff>56029</xdr:rowOff>
    </xdr:from>
    <xdr:to>
      <xdr:col>65</xdr:col>
      <xdr:colOff>324974</xdr:colOff>
      <xdr:row>12</xdr:row>
      <xdr:rowOff>168088</xdr:rowOff>
    </xdr:to>
    <xdr:graphicFrame macro="">
      <xdr:nvGraphicFramePr>
        <xdr:cNvPr id="31" name="Gráfico 3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57</xdr:col>
      <xdr:colOff>11204</xdr:colOff>
      <xdr:row>13</xdr:row>
      <xdr:rowOff>52948</xdr:rowOff>
    </xdr:from>
    <xdr:to>
      <xdr:col>65</xdr:col>
      <xdr:colOff>336179</xdr:colOff>
      <xdr:row>21</xdr:row>
      <xdr:rowOff>33617</xdr:rowOff>
    </xdr:to>
    <xdr:graphicFrame macro="">
      <xdr:nvGraphicFramePr>
        <xdr:cNvPr id="32" name="Gráfico 3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57</xdr:col>
      <xdr:colOff>11207</xdr:colOff>
      <xdr:row>21</xdr:row>
      <xdr:rowOff>112058</xdr:rowOff>
    </xdr:from>
    <xdr:to>
      <xdr:col>65</xdr:col>
      <xdr:colOff>336182</xdr:colOff>
      <xdr:row>29</xdr:row>
      <xdr:rowOff>92727</xdr:rowOff>
    </xdr:to>
    <xdr:graphicFrame macro="">
      <xdr:nvGraphicFramePr>
        <xdr:cNvPr id="33" name="Gráfico 3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wsDr>
</file>

<file path=xl/drawings/drawing54.xml><?xml version="1.0" encoding="utf-8"?>
<c:userShapes xmlns:c="http://schemas.openxmlformats.org/drawingml/2006/chart">
  <cdr:relSizeAnchor xmlns:cdr="http://schemas.openxmlformats.org/drawingml/2006/chartDrawing">
    <cdr:from>
      <cdr:x>0.78091</cdr:x>
      <cdr:y>0.71942</cdr:y>
    </cdr:from>
    <cdr:to>
      <cdr:x>0.97844</cdr:x>
      <cdr:y>0.85987</cdr:y>
    </cdr:to>
    <cdr:sp macro="" textlink="">
      <cdr:nvSpPr>
        <cdr:cNvPr id="4" name="CaixaDeTexto 1"/>
        <cdr:cNvSpPr txBox="1"/>
      </cdr:nvSpPr>
      <cdr:spPr>
        <a:xfrm xmlns:a="http://schemas.openxmlformats.org/drawingml/2006/main">
          <a:off x="4034117" y="1150606"/>
          <a:ext cx="1020398" cy="22463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pt-PT" sz="1000" baseline="0">
              <a:solidFill>
                <a:schemeClr val="bg1"/>
              </a:solidFill>
            </a:rPr>
            <a:t>Tempo activo</a:t>
          </a:r>
          <a:endParaRPr lang="pt-PT" sz="1000">
            <a:solidFill>
              <a:schemeClr val="bg1"/>
            </a:solidFill>
          </a:endParaRPr>
        </a:p>
      </cdr:txBody>
    </cdr:sp>
  </cdr:relSizeAnchor>
  <cdr:relSizeAnchor xmlns:cdr="http://schemas.openxmlformats.org/drawingml/2006/chartDrawing">
    <cdr:from>
      <cdr:x>0.70587</cdr:x>
      <cdr:y>0.315</cdr:y>
    </cdr:from>
    <cdr:to>
      <cdr:x>0.90987</cdr:x>
      <cdr:y>0.48143</cdr:y>
    </cdr:to>
    <cdr:sp macro="" textlink="">
      <cdr:nvSpPr>
        <cdr:cNvPr id="5" name="CaixaDeTexto 1"/>
        <cdr:cNvSpPr txBox="1"/>
      </cdr:nvSpPr>
      <cdr:spPr>
        <a:xfrm xmlns:a="http://schemas.openxmlformats.org/drawingml/2006/main">
          <a:off x="3646442" y="503798"/>
          <a:ext cx="1053845" cy="26618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pt-PT" sz="1000">
              <a:solidFill>
                <a:schemeClr val="bg1"/>
              </a:solidFill>
            </a:rPr>
            <a:t>Tempo</a:t>
          </a:r>
          <a:r>
            <a:rPr lang="pt-PT" sz="1000" baseline="0">
              <a:solidFill>
                <a:schemeClr val="bg1"/>
              </a:solidFill>
            </a:rPr>
            <a:t> inactivo</a:t>
          </a:r>
        </a:p>
      </cdr:txBody>
    </cdr:sp>
  </cdr:relSizeAnchor>
</c:userShapes>
</file>

<file path=xl/drawings/drawing55.xml><?xml version="1.0" encoding="utf-8"?>
<c:userShapes xmlns:c="http://schemas.openxmlformats.org/drawingml/2006/chart">
  <cdr:relSizeAnchor xmlns:cdr="http://schemas.openxmlformats.org/drawingml/2006/chartDrawing">
    <cdr:from>
      <cdr:x>0.85582</cdr:x>
      <cdr:y>0.47062</cdr:y>
    </cdr:from>
    <cdr:to>
      <cdr:x>0.99248</cdr:x>
      <cdr:y>0.60889</cdr:y>
    </cdr:to>
    <cdr:sp macro="" textlink="">
      <cdr:nvSpPr>
        <cdr:cNvPr id="2" name="CaixaDeTexto 1"/>
        <cdr:cNvSpPr txBox="1"/>
      </cdr:nvSpPr>
      <cdr:spPr>
        <a:xfrm xmlns:a="http://schemas.openxmlformats.org/drawingml/2006/main">
          <a:off x="4421095" y="711946"/>
          <a:ext cx="705971" cy="20917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pt-PT" sz="1000" baseline="0">
              <a:solidFill>
                <a:schemeClr val="bg1"/>
              </a:solidFill>
            </a:rPr>
            <a:t>Tempo activo</a:t>
          </a:r>
          <a:endParaRPr lang="pt-PT" sz="1000">
            <a:solidFill>
              <a:schemeClr val="bg1"/>
            </a:solidFill>
          </a:endParaRPr>
        </a:p>
      </cdr:txBody>
    </cdr:sp>
  </cdr:relSizeAnchor>
  <cdr:relSizeAnchor xmlns:cdr="http://schemas.openxmlformats.org/drawingml/2006/chartDrawing">
    <cdr:from>
      <cdr:x>0.63673</cdr:x>
      <cdr:y>0.29284</cdr:y>
    </cdr:from>
    <cdr:to>
      <cdr:x>0.84073</cdr:x>
      <cdr:y>0.46879</cdr:y>
    </cdr:to>
    <cdr:sp macro="" textlink="">
      <cdr:nvSpPr>
        <cdr:cNvPr id="3" name="CaixaDeTexto 1"/>
        <cdr:cNvSpPr txBox="1"/>
      </cdr:nvSpPr>
      <cdr:spPr>
        <a:xfrm xmlns:a="http://schemas.openxmlformats.org/drawingml/2006/main">
          <a:off x="3289300" y="443006"/>
          <a:ext cx="1053845" cy="26618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pt-PT" sz="1000">
              <a:solidFill>
                <a:schemeClr val="bg1"/>
              </a:solidFill>
            </a:rPr>
            <a:t>Tempo</a:t>
          </a:r>
          <a:r>
            <a:rPr lang="pt-PT" sz="1000" baseline="0">
              <a:solidFill>
                <a:schemeClr val="bg1"/>
              </a:solidFill>
            </a:rPr>
            <a:t> inactivo</a:t>
          </a:r>
        </a:p>
      </cdr:txBody>
    </cdr:sp>
  </cdr:relSizeAnchor>
</c:userShapes>
</file>

<file path=xl/drawings/drawing56.xml><?xml version="1.0" encoding="utf-8"?>
<c:userShapes xmlns:c="http://schemas.openxmlformats.org/drawingml/2006/chart">
  <cdr:relSizeAnchor xmlns:cdr="http://schemas.openxmlformats.org/drawingml/2006/chartDrawing">
    <cdr:from>
      <cdr:x>0.64758</cdr:x>
      <cdr:y>0.30502</cdr:y>
    </cdr:from>
    <cdr:to>
      <cdr:x>0.85158</cdr:x>
      <cdr:y>0.46772</cdr:y>
    </cdr:to>
    <cdr:sp macro="" textlink="">
      <cdr:nvSpPr>
        <cdr:cNvPr id="2" name="CaixaDeTexto 1"/>
        <cdr:cNvSpPr txBox="1"/>
      </cdr:nvSpPr>
      <cdr:spPr>
        <a:xfrm xmlns:a="http://schemas.openxmlformats.org/drawingml/2006/main">
          <a:off x="3345329" y="499036"/>
          <a:ext cx="1053845" cy="26618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pt-PT" sz="1000">
              <a:solidFill>
                <a:schemeClr val="bg1"/>
              </a:solidFill>
            </a:rPr>
            <a:t>Tempo</a:t>
          </a:r>
          <a:r>
            <a:rPr lang="pt-PT" sz="1000" baseline="0">
              <a:solidFill>
                <a:schemeClr val="bg1"/>
              </a:solidFill>
            </a:rPr>
            <a:t> inactivo</a:t>
          </a:r>
        </a:p>
      </cdr:txBody>
    </cdr:sp>
  </cdr:relSizeAnchor>
  <cdr:relSizeAnchor xmlns:cdr="http://schemas.openxmlformats.org/drawingml/2006/chartDrawing">
    <cdr:from>
      <cdr:x>0.84714</cdr:x>
      <cdr:y>0.47626</cdr:y>
    </cdr:from>
    <cdr:to>
      <cdr:x>0.9838</cdr:x>
      <cdr:y>0.60411</cdr:y>
    </cdr:to>
    <cdr:sp macro="" textlink="">
      <cdr:nvSpPr>
        <cdr:cNvPr id="3" name="CaixaDeTexto 1"/>
        <cdr:cNvSpPr txBox="1"/>
      </cdr:nvSpPr>
      <cdr:spPr>
        <a:xfrm xmlns:a="http://schemas.openxmlformats.org/drawingml/2006/main">
          <a:off x="4376271" y="779183"/>
          <a:ext cx="705971" cy="20917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pt-PT" sz="1000" baseline="0">
              <a:solidFill>
                <a:schemeClr val="bg1"/>
              </a:solidFill>
            </a:rPr>
            <a:t>Tempo activo</a:t>
          </a:r>
          <a:endParaRPr lang="pt-PT" sz="1000">
            <a:solidFill>
              <a:schemeClr val="bg1"/>
            </a:solidFill>
          </a:endParaRPr>
        </a:p>
      </cdr:txBody>
    </cdr:sp>
  </cdr:relSizeAnchor>
</c:userShapes>
</file>

<file path=xl/drawings/drawing57.xml><?xml version="1.0" encoding="utf-8"?>
<c:userShapes xmlns:c="http://schemas.openxmlformats.org/drawingml/2006/chart">
  <cdr:relSizeAnchor xmlns:cdr="http://schemas.openxmlformats.org/drawingml/2006/chartDrawing">
    <cdr:from>
      <cdr:x>0.64324</cdr:x>
      <cdr:y>0.30932</cdr:y>
    </cdr:from>
    <cdr:to>
      <cdr:x>0.84724</cdr:x>
      <cdr:y>0.48622</cdr:y>
    </cdr:to>
    <cdr:sp macro="" textlink="">
      <cdr:nvSpPr>
        <cdr:cNvPr id="2" name="CaixaDeTexto 1"/>
        <cdr:cNvSpPr txBox="1"/>
      </cdr:nvSpPr>
      <cdr:spPr>
        <a:xfrm xmlns:a="http://schemas.openxmlformats.org/drawingml/2006/main">
          <a:off x="3322918" y="465417"/>
          <a:ext cx="1053845" cy="26618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pt-PT" sz="1000">
              <a:solidFill>
                <a:schemeClr val="bg1"/>
              </a:solidFill>
            </a:rPr>
            <a:t>Tempo</a:t>
          </a:r>
          <a:r>
            <a:rPr lang="pt-PT" sz="1000" baseline="0">
              <a:solidFill>
                <a:schemeClr val="bg1"/>
              </a:solidFill>
            </a:rPr>
            <a:t> inactivo</a:t>
          </a:r>
        </a:p>
      </cdr:txBody>
    </cdr:sp>
  </cdr:relSizeAnchor>
  <cdr:relSizeAnchor xmlns:cdr="http://schemas.openxmlformats.org/drawingml/2006/chartDrawing">
    <cdr:from>
      <cdr:x>0.84281</cdr:x>
      <cdr:y>0.47316</cdr:y>
    </cdr:from>
    <cdr:to>
      <cdr:x>0.97946</cdr:x>
      <cdr:y>0.61218</cdr:y>
    </cdr:to>
    <cdr:sp macro="" textlink="">
      <cdr:nvSpPr>
        <cdr:cNvPr id="3" name="CaixaDeTexto 1"/>
        <cdr:cNvSpPr txBox="1"/>
      </cdr:nvSpPr>
      <cdr:spPr>
        <a:xfrm xmlns:a="http://schemas.openxmlformats.org/drawingml/2006/main">
          <a:off x="4353858" y="711947"/>
          <a:ext cx="705971" cy="20917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pt-PT" sz="1000" baseline="0">
              <a:solidFill>
                <a:schemeClr val="bg1"/>
              </a:solidFill>
            </a:rPr>
            <a:t>Tempo activo</a:t>
          </a:r>
          <a:endParaRPr lang="pt-PT" sz="1000">
            <a:solidFill>
              <a:schemeClr val="bg1"/>
            </a:solidFill>
          </a:endParaRPr>
        </a:p>
      </cdr:txBody>
    </cdr:sp>
  </cdr:relSizeAnchor>
</c:userShapes>
</file>

<file path=xl/drawings/drawing58.xml><?xml version="1.0" encoding="utf-8"?>
<c:userShapes xmlns:c="http://schemas.openxmlformats.org/drawingml/2006/chart">
  <cdr:relSizeAnchor xmlns:cdr="http://schemas.openxmlformats.org/drawingml/2006/chartDrawing">
    <cdr:from>
      <cdr:x>0.74302</cdr:x>
      <cdr:y>0.33242</cdr:y>
    </cdr:from>
    <cdr:to>
      <cdr:x>0.94702</cdr:x>
      <cdr:y>0.49512</cdr:y>
    </cdr:to>
    <cdr:sp macro="" textlink="">
      <cdr:nvSpPr>
        <cdr:cNvPr id="2" name="CaixaDeTexto 1"/>
        <cdr:cNvSpPr txBox="1"/>
      </cdr:nvSpPr>
      <cdr:spPr>
        <a:xfrm xmlns:a="http://schemas.openxmlformats.org/drawingml/2006/main">
          <a:off x="3838388" y="543859"/>
          <a:ext cx="1053845" cy="26618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pt-PT" sz="1000">
              <a:solidFill>
                <a:schemeClr val="bg1"/>
              </a:solidFill>
            </a:rPr>
            <a:t>Tempo</a:t>
          </a:r>
          <a:r>
            <a:rPr lang="pt-PT" sz="1000" baseline="0">
              <a:solidFill>
                <a:schemeClr val="bg1"/>
              </a:solidFill>
            </a:rPr>
            <a:t> inactivo</a:t>
          </a:r>
        </a:p>
      </cdr:txBody>
    </cdr:sp>
  </cdr:relSizeAnchor>
  <cdr:relSizeAnchor xmlns:cdr="http://schemas.openxmlformats.org/drawingml/2006/chartDrawing">
    <cdr:from>
      <cdr:x>0.84497</cdr:x>
      <cdr:y>0.46941</cdr:y>
    </cdr:from>
    <cdr:to>
      <cdr:x>0.98163</cdr:x>
      <cdr:y>0.59726</cdr:y>
    </cdr:to>
    <cdr:sp macro="" textlink="">
      <cdr:nvSpPr>
        <cdr:cNvPr id="3" name="CaixaDeTexto 1"/>
        <cdr:cNvSpPr txBox="1"/>
      </cdr:nvSpPr>
      <cdr:spPr>
        <a:xfrm xmlns:a="http://schemas.openxmlformats.org/drawingml/2006/main">
          <a:off x="4365065" y="767977"/>
          <a:ext cx="705971" cy="20917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pt-PT" sz="1000" baseline="0">
              <a:solidFill>
                <a:schemeClr val="bg1"/>
              </a:solidFill>
            </a:rPr>
            <a:t>Tempo activo</a:t>
          </a:r>
          <a:endParaRPr lang="pt-PT" sz="1000">
            <a:solidFill>
              <a:schemeClr val="bg1"/>
            </a:solidFill>
          </a:endParaRPr>
        </a:p>
      </cdr:txBody>
    </cdr:sp>
  </cdr:relSizeAnchor>
</c:userShapes>
</file>

<file path=xl/drawings/drawing59.xml><?xml version="1.0" encoding="utf-8"?>
<c:userShapes xmlns:c="http://schemas.openxmlformats.org/drawingml/2006/chart">
  <cdr:relSizeAnchor xmlns:cdr="http://schemas.openxmlformats.org/drawingml/2006/chartDrawing">
    <cdr:from>
      <cdr:x>0.64541</cdr:x>
      <cdr:y>0.31676</cdr:y>
    </cdr:from>
    <cdr:to>
      <cdr:x>0.84941</cdr:x>
      <cdr:y>0.49367</cdr:y>
    </cdr:to>
    <cdr:sp macro="" textlink="">
      <cdr:nvSpPr>
        <cdr:cNvPr id="2" name="CaixaDeTexto 1"/>
        <cdr:cNvSpPr txBox="1"/>
      </cdr:nvSpPr>
      <cdr:spPr>
        <a:xfrm xmlns:a="http://schemas.openxmlformats.org/drawingml/2006/main">
          <a:off x="3334124" y="476623"/>
          <a:ext cx="1053845" cy="26618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pt-PT" sz="1000">
              <a:solidFill>
                <a:schemeClr val="bg1"/>
              </a:solidFill>
            </a:rPr>
            <a:t>Tempo</a:t>
          </a:r>
          <a:r>
            <a:rPr lang="pt-PT" sz="1000" baseline="0">
              <a:solidFill>
                <a:schemeClr val="bg1"/>
              </a:solidFill>
            </a:rPr>
            <a:t> inactivo</a:t>
          </a:r>
        </a:p>
      </cdr:txBody>
    </cdr:sp>
  </cdr:relSizeAnchor>
  <cdr:relSizeAnchor xmlns:cdr="http://schemas.openxmlformats.org/drawingml/2006/chartDrawing">
    <cdr:from>
      <cdr:x>0.84064</cdr:x>
      <cdr:y>0.47316</cdr:y>
    </cdr:from>
    <cdr:to>
      <cdr:x>0.9773</cdr:x>
      <cdr:y>0.61218</cdr:y>
    </cdr:to>
    <cdr:sp macro="" textlink="">
      <cdr:nvSpPr>
        <cdr:cNvPr id="3" name="CaixaDeTexto 1"/>
        <cdr:cNvSpPr txBox="1"/>
      </cdr:nvSpPr>
      <cdr:spPr>
        <a:xfrm xmlns:a="http://schemas.openxmlformats.org/drawingml/2006/main">
          <a:off x="4342652" y="711947"/>
          <a:ext cx="705971" cy="20917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pt-PT" sz="1000" baseline="0">
              <a:solidFill>
                <a:schemeClr val="bg1"/>
              </a:solidFill>
            </a:rPr>
            <a:t>Tempo activo</a:t>
          </a:r>
          <a:endParaRPr lang="pt-PT" sz="1000">
            <a:solidFill>
              <a:schemeClr val="bg1"/>
            </a:solidFill>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0.63688</cdr:x>
      <cdr:y>0.301</cdr:y>
    </cdr:from>
    <cdr:to>
      <cdr:x>0.81938</cdr:x>
      <cdr:y>0.46505</cdr:y>
    </cdr:to>
    <cdr:sp macro="" textlink="">
      <cdr:nvSpPr>
        <cdr:cNvPr id="3" name="CaixaDeTexto 2"/>
        <cdr:cNvSpPr txBox="1"/>
      </cdr:nvSpPr>
      <cdr:spPr>
        <a:xfrm xmlns:a="http://schemas.openxmlformats.org/drawingml/2006/main">
          <a:off x="3793191" y="472888"/>
          <a:ext cx="1086970" cy="25773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pt-PT" sz="1000">
              <a:solidFill>
                <a:schemeClr val="bg1"/>
              </a:solidFill>
            </a:rPr>
            <a:t>Tempo</a:t>
          </a:r>
          <a:r>
            <a:rPr lang="pt-PT" sz="1000" baseline="0">
              <a:solidFill>
                <a:schemeClr val="bg1"/>
              </a:solidFill>
            </a:rPr>
            <a:t> inactivo</a:t>
          </a:r>
        </a:p>
      </cdr:txBody>
    </cdr:sp>
  </cdr:relSizeAnchor>
  <cdr:relSizeAnchor xmlns:cdr="http://schemas.openxmlformats.org/drawingml/2006/chartDrawing">
    <cdr:from>
      <cdr:x>0.83631</cdr:x>
      <cdr:y>0.51498</cdr:y>
    </cdr:from>
    <cdr:to>
      <cdr:x>1</cdr:x>
      <cdr:y>0.6505</cdr:y>
    </cdr:to>
    <cdr:sp macro="" textlink="">
      <cdr:nvSpPr>
        <cdr:cNvPr id="4" name="CaixaDeTexto 1"/>
        <cdr:cNvSpPr txBox="1"/>
      </cdr:nvSpPr>
      <cdr:spPr>
        <a:xfrm xmlns:a="http://schemas.openxmlformats.org/drawingml/2006/main">
          <a:off x="4981013" y="809065"/>
          <a:ext cx="974912" cy="21291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pt-PT" sz="1000" baseline="0">
              <a:solidFill>
                <a:schemeClr val="bg1"/>
              </a:solidFill>
            </a:rPr>
            <a:t>Tempo activo</a:t>
          </a:r>
          <a:endParaRPr lang="pt-PT" sz="1000">
            <a:solidFill>
              <a:schemeClr val="bg1"/>
            </a:solidFill>
          </a:endParaRPr>
        </a:p>
      </cdr:txBody>
    </cdr:sp>
  </cdr:relSizeAnchor>
</c:userShapes>
</file>

<file path=xl/drawings/drawing60.xml><?xml version="1.0" encoding="utf-8"?>
<c:userShapes xmlns:c="http://schemas.openxmlformats.org/drawingml/2006/chart">
  <cdr:relSizeAnchor xmlns:cdr="http://schemas.openxmlformats.org/drawingml/2006/chartDrawing">
    <cdr:from>
      <cdr:x>0.70615</cdr:x>
      <cdr:y>0.32421</cdr:y>
    </cdr:from>
    <cdr:to>
      <cdr:x>0.91015</cdr:x>
      <cdr:y>0.50111</cdr:y>
    </cdr:to>
    <cdr:sp macro="" textlink="">
      <cdr:nvSpPr>
        <cdr:cNvPr id="3" name="CaixaDeTexto 1"/>
        <cdr:cNvSpPr txBox="1"/>
      </cdr:nvSpPr>
      <cdr:spPr>
        <a:xfrm xmlns:a="http://schemas.openxmlformats.org/drawingml/2006/main">
          <a:off x="3647889" y="487829"/>
          <a:ext cx="1053845" cy="26618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pt-PT" sz="1000">
              <a:solidFill>
                <a:schemeClr val="bg1"/>
              </a:solidFill>
            </a:rPr>
            <a:t>Tempo</a:t>
          </a:r>
          <a:r>
            <a:rPr lang="pt-PT" sz="1000" baseline="0">
              <a:solidFill>
                <a:schemeClr val="bg1"/>
              </a:solidFill>
            </a:rPr>
            <a:t> inactivo</a:t>
          </a:r>
        </a:p>
      </cdr:txBody>
    </cdr:sp>
  </cdr:relSizeAnchor>
  <cdr:relSizeAnchor xmlns:cdr="http://schemas.openxmlformats.org/drawingml/2006/chartDrawing">
    <cdr:from>
      <cdr:x>0.84064</cdr:x>
      <cdr:y>0.48061</cdr:y>
    </cdr:from>
    <cdr:to>
      <cdr:x>0.9773</cdr:x>
      <cdr:y>0.61962</cdr:y>
    </cdr:to>
    <cdr:sp macro="" textlink="">
      <cdr:nvSpPr>
        <cdr:cNvPr id="4" name="CaixaDeTexto 1"/>
        <cdr:cNvSpPr txBox="1"/>
      </cdr:nvSpPr>
      <cdr:spPr>
        <a:xfrm xmlns:a="http://schemas.openxmlformats.org/drawingml/2006/main">
          <a:off x="4342653" y="723153"/>
          <a:ext cx="705971" cy="20917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pt-PT" sz="1000" baseline="0">
              <a:solidFill>
                <a:schemeClr val="bg1"/>
              </a:solidFill>
            </a:rPr>
            <a:t>Tempo activo</a:t>
          </a:r>
          <a:endParaRPr lang="pt-PT" sz="1000">
            <a:solidFill>
              <a:schemeClr val="bg1"/>
            </a:solidFill>
          </a:endParaRPr>
        </a:p>
      </cdr:txBody>
    </cdr:sp>
  </cdr:relSizeAnchor>
</c:userShapes>
</file>

<file path=xl/drawings/drawing61.xml><?xml version="1.0" encoding="utf-8"?>
<c:userShapes xmlns:c="http://schemas.openxmlformats.org/drawingml/2006/chart">
  <cdr:relSizeAnchor xmlns:cdr="http://schemas.openxmlformats.org/drawingml/2006/chartDrawing">
    <cdr:from>
      <cdr:x>0.67361</cdr:x>
      <cdr:y>0.33242</cdr:y>
    </cdr:from>
    <cdr:to>
      <cdr:x>0.87761</cdr:x>
      <cdr:y>0.49512</cdr:y>
    </cdr:to>
    <cdr:sp macro="" textlink="">
      <cdr:nvSpPr>
        <cdr:cNvPr id="3" name="CaixaDeTexto 1"/>
        <cdr:cNvSpPr txBox="1"/>
      </cdr:nvSpPr>
      <cdr:spPr>
        <a:xfrm xmlns:a="http://schemas.openxmlformats.org/drawingml/2006/main">
          <a:off x="3479800" y="543858"/>
          <a:ext cx="1053845" cy="26618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pt-PT" sz="1000">
              <a:solidFill>
                <a:schemeClr val="bg1"/>
              </a:solidFill>
            </a:rPr>
            <a:t>Tempo</a:t>
          </a:r>
          <a:r>
            <a:rPr lang="pt-PT" sz="1000" baseline="0">
              <a:solidFill>
                <a:schemeClr val="bg1"/>
              </a:solidFill>
            </a:rPr>
            <a:t> inactivo</a:t>
          </a:r>
        </a:p>
      </cdr:txBody>
    </cdr:sp>
  </cdr:relSizeAnchor>
  <cdr:relSizeAnchor xmlns:cdr="http://schemas.openxmlformats.org/drawingml/2006/chartDrawing">
    <cdr:from>
      <cdr:x>0.85365</cdr:x>
      <cdr:y>0.47626</cdr:y>
    </cdr:from>
    <cdr:to>
      <cdr:x>0.99031</cdr:x>
      <cdr:y>0.60411</cdr:y>
    </cdr:to>
    <cdr:sp macro="" textlink="">
      <cdr:nvSpPr>
        <cdr:cNvPr id="4" name="CaixaDeTexto 1"/>
        <cdr:cNvSpPr txBox="1"/>
      </cdr:nvSpPr>
      <cdr:spPr>
        <a:xfrm xmlns:a="http://schemas.openxmlformats.org/drawingml/2006/main">
          <a:off x="4409888" y="779183"/>
          <a:ext cx="705971" cy="20917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pt-PT" sz="1000" baseline="0">
              <a:solidFill>
                <a:schemeClr val="bg1"/>
              </a:solidFill>
            </a:rPr>
            <a:t>Tempo activo</a:t>
          </a:r>
          <a:endParaRPr lang="pt-PT" sz="1000">
            <a:solidFill>
              <a:schemeClr val="bg1"/>
            </a:solidFill>
          </a:endParaRPr>
        </a:p>
      </cdr:txBody>
    </cdr:sp>
  </cdr:relSizeAnchor>
</c:userShapes>
</file>

<file path=xl/drawings/drawing62.xml><?xml version="1.0" encoding="utf-8"?>
<c:userShapes xmlns:c="http://schemas.openxmlformats.org/drawingml/2006/chart">
  <cdr:relSizeAnchor xmlns:cdr="http://schemas.openxmlformats.org/drawingml/2006/chartDrawing">
    <cdr:from>
      <cdr:x>0.64758</cdr:x>
      <cdr:y>0.32421</cdr:y>
    </cdr:from>
    <cdr:to>
      <cdr:x>0.85158</cdr:x>
      <cdr:y>0.50111</cdr:y>
    </cdr:to>
    <cdr:sp macro="" textlink="">
      <cdr:nvSpPr>
        <cdr:cNvPr id="3" name="CaixaDeTexto 1"/>
        <cdr:cNvSpPr txBox="1"/>
      </cdr:nvSpPr>
      <cdr:spPr>
        <a:xfrm xmlns:a="http://schemas.openxmlformats.org/drawingml/2006/main">
          <a:off x="3345329" y="487829"/>
          <a:ext cx="1053845" cy="26618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pt-PT" sz="1000">
              <a:solidFill>
                <a:schemeClr val="bg1"/>
              </a:solidFill>
            </a:rPr>
            <a:t>Tempo</a:t>
          </a:r>
          <a:r>
            <a:rPr lang="pt-PT" sz="1000" baseline="0">
              <a:solidFill>
                <a:schemeClr val="bg1"/>
              </a:solidFill>
            </a:rPr>
            <a:t> inactivo</a:t>
          </a:r>
        </a:p>
      </cdr:txBody>
    </cdr:sp>
  </cdr:relSizeAnchor>
  <cdr:relSizeAnchor xmlns:cdr="http://schemas.openxmlformats.org/drawingml/2006/chartDrawing">
    <cdr:from>
      <cdr:x>0.83847</cdr:x>
      <cdr:y>0.46571</cdr:y>
    </cdr:from>
    <cdr:to>
      <cdr:x>0.97513</cdr:x>
      <cdr:y>0.60473</cdr:y>
    </cdr:to>
    <cdr:sp macro="" textlink="">
      <cdr:nvSpPr>
        <cdr:cNvPr id="4" name="CaixaDeTexto 1"/>
        <cdr:cNvSpPr txBox="1"/>
      </cdr:nvSpPr>
      <cdr:spPr>
        <a:xfrm xmlns:a="http://schemas.openxmlformats.org/drawingml/2006/main">
          <a:off x="4331447" y="700741"/>
          <a:ext cx="705971" cy="20917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pt-PT" sz="1000" baseline="0">
              <a:solidFill>
                <a:schemeClr val="bg1"/>
              </a:solidFill>
            </a:rPr>
            <a:t>Tempo activo</a:t>
          </a:r>
          <a:endParaRPr lang="pt-PT" sz="1000">
            <a:solidFill>
              <a:schemeClr val="bg1"/>
            </a:solidFill>
          </a:endParaRPr>
        </a:p>
      </cdr:txBody>
    </cdr:sp>
  </cdr:relSizeAnchor>
</c:userShapes>
</file>

<file path=xl/drawings/drawing63.xml><?xml version="1.0" encoding="utf-8"?>
<c:userShapes xmlns:c="http://schemas.openxmlformats.org/drawingml/2006/chart">
  <cdr:relSizeAnchor xmlns:cdr="http://schemas.openxmlformats.org/drawingml/2006/chartDrawing">
    <cdr:from>
      <cdr:x>0.67361</cdr:x>
      <cdr:y>0.32421</cdr:y>
    </cdr:from>
    <cdr:to>
      <cdr:x>0.87761</cdr:x>
      <cdr:y>0.50111</cdr:y>
    </cdr:to>
    <cdr:sp macro="" textlink="">
      <cdr:nvSpPr>
        <cdr:cNvPr id="3" name="CaixaDeTexto 1"/>
        <cdr:cNvSpPr txBox="1"/>
      </cdr:nvSpPr>
      <cdr:spPr>
        <a:xfrm xmlns:a="http://schemas.openxmlformats.org/drawingml/2006/main">
          <a:off x="3479800" y="487830"/>
          <a:ext cx="1053845" cy="26618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pt-PT" sz="1000">
              <a:solidFill>
                <a:schemeClr val="bg1"/>
              </a:solidFill>
            </a:rPr>
            <a:t>Tempo</a:t>
          </a:r>
          <a:r>
            <a:rPr lang="pt-PT" sz="1000" baseline="0">
              <a:solidFill>
                <a:schemeClr val="bg1"/>
              </a:solidFill>
            </a:rPr>
            <a:t> inactivo</a:t>
          </a:r>
        </a:p>
      </cdr:txBody>
    </cdr:sp>
  </cdr:relSizeAnchor>
  <cdr:relSizeAnchor xmlns:cdr="http://schemas.openxmlformats.org/drawingml/2006/chartDrawing">
    <cdr:from>
      <cdr:x>0.84064</cdr:x>
      <cdr:y>0.47316</cdr:y>
    </cdr:from>
    <cdr:to>
      <cdr:x>0.9773</cdr:x>
      <cdr:y>0.61218</cdr:y>
    </cdr:to>
    <cdr:sp macro="" textlink="">
      <cdr:nvSpPr>
        <cdr:cNvPr id="4" name="CaixaDeTexto 1"/>
        <cdr:cNvSpPr txBox="1"/>
      </cdr:nvSpPr>
      <cdr:spPr>
        <a:xfrm xmlns:a="http://schemas.openxmlformats.org/drawingml/2006/main">
          <a:off x="4342653" y="711947"/>
          <a:ext cx="705971" cy="20917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pt-PT" sz="1000" baseline="0">
              <a:solidFill>
                <a:schemeClr val="bg1"/>
              </a:solidFill>
            </a:rPr>
            <a:t>Tempo activo</a:t>
          </a:r>
          <a:endParaRPr lang="pt-PT" sz="1000">
            <a:solidFill>
              <a:schemeClr val="bg1"/>
            </a:solidFill>
          </a:endParaRPr>
        </a:p>
      </cdr:txBody>
    </cdr:sp>
  </cdr:relSizeAnchor>
</c:userShapes>
</file>

<file path=xl/drawings/drawing64.xml><?xml version="1.0" encoding="utf-8"?>
<c:userShapes xmlns:c="http://schemas.openxmlformats.org/drawingml/2006/chart">
  <cdr:relSizeAnchor xmlns:cdr="http://schemas.openxmlformats.org/drawingml/2006/chartDrawing">
    <cdr:from>
      <cdr:x>0.66059</cdr:x>
      <cdr:y>0.32421</cdr:y>
    </cdr:from>
    <cdr:to>
      <cdr:x>0.86459</cdr:x>
      <cdr:y>0.50111</cdr:y>
    </cdr:to>
    <cdr:sp macro="" textlink="">
      <cdr:nvSpPr>
        <cdr:cNvPr id="3" name="CaixaDeTexto 1"/>
        <cdr:cNvSpPr txBox="1"/>
      </cdr:nvSpPr>
      <cdr:spPr>
        <a:xfrm xmlns:a="http://schemas.openxmlformats.org/drawingml/2006/main">
          <a:off x="3412564" y="487829"/>
          <a:ext cx="1053845" cy="26618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pt-PT" sz="1000">
              <a:solidFill>
                <a:schemeClr val="bg1"/>
              </a:solidFill>
            </a:rPr>
            <a:t>Tempo</a:t>
          </a:r>
          <a:r>
            <a:rPr lang="pt-PT" sz="1000" baseline="0">
              <a:solidFill>
                <a:schemeClr val="bg1"/>
              </a:solidFill>
            </a:rPr>
            <a:t> inactivo</a:t>
          </a:r>
        </a:p>
      </cdr:txBody>
    </cdr:sp>
  </cdr:relSizeAnchor>
  <cdr:relSizeAnchor xmlns:cdr="http://schemas.openxmlformats.org/drawingml/2006/chartDrawing">
    <cdr:from>
      <cdr:x>0.84714</cdr:x>
      <cdr:y>0.47316</cdr:y>
    </cdr:from>
    <cdr:to>
      <cdr:x>0.9838</cdr:x>
      <cdr:y>0.61218</cdr:y>
    </cdr:to>
    <cdr:sp macro="" textlink="">
      <cdr:nvSpPr>
        <cdr:cNvPr id="4" name="CaixaDeTexto 1"/>
        <cdr:cNvSpPr txBox="1"/>
      </cdr:nvSpPr>
      <cdr:spPr>
        <a:xfrm xmlns:a="http://schemas.openxmlformats.org/drawingml/2006/main">
          <a:off x="4376271" y="711947"/>
          <a:ext cx="705971" cy="20917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pt-PT" sz="1000" baseline="0">
              <a:solidFill>
                <a:schemeClr val="bg1"/>
              </a:solidFill>
            </a:rPr>
            <a:t>Tempo activo</a:t>
          </a:r>
          <a:endParaRPr lang="pt-PT" sz="1000">
            <a:solidFill>
              <a:schemeClr val="bg1"/>
            </a:solidFill>
          </a:endParaRPr>
        </a:p>
      </cdr:txBody>
    </cdr:sp>
  </cdr:relSizeAnchor>
</c:userShapes>
</file>

<file path=xl/drawings/drawing65.xml><?xml version="1.0" encoding="utf-8"?>
<c:userShapes xmlns:c="http://schemas.openxmlformats.org/drawingml/2006/chart">
  <cdr:relSizeAnchor xmlns:cdr="http://schemas.openxmlformats.org/drawingml/2006/chartDrawing">
    <cdr:from>
      <cdr:x>0.64324</cdr:x>
      <cdr:y>0.33927</cdr:y>
    </cdr:from>
    <cdr:to>
      <cdr:x>0.84724</cdr:x>
      <cdr:y>0.50197</cdr:y>
    </cdr:to>
    <cdr:sp macro="" textlink="">
      <cdr:nvSpPr>
        <cdr:cNvPr id="2" name="CaixaDeTexto 1"/>
        <cdr:cNvSpPr txBox="1"/>
      </cdr:nvSpPr>
      <cdr:spPr>
        <a:xfrm xmlns:a="http://schemas.openxmlformats.org/drawingml/2006/main">
          <a:off x="3322918" y="555064"/>
          <a:ext cx="1053845" cy="26618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pt-PT" sz="1000">
              <a:solidFill>
                <a:schemeClr val="bg1"/>
              </a:solidFill>
            </a:rPr>
            <a:t>Tempo</a:t>
          </a:r>
          <a:r>
            <a:rPr lang="pt-PT" sz="1000" baseline="0">
              <a:solidFill>
                <a:schemeClr val="bg1"/>
              </a:solidFill>
            </a:rPr>
            <a:t> inactivo</a:t>
          </a:r>
        </a:p>
      </cdr:txBody>
    </cdr:sp>
  </cdr:relSizeAnchor>
  <cdr:relSizeAnchor xmlns:cdr="http://schemas.openxmlformats.org/drawingml/2006/chartDrawing">
    <cdr:from>
      <cdr:x>0.8363</cdr:x>
      <cdr:y>0.46941</cdr:y>
    </cdr:from>
    <cdr:to>
      <cdr:x>0.97296</cdr:x>
      <cdr:y>0.59726</cdr:y>
    </cdr:to>
    <cdr:sp macro="" textlink="">
      <cdr:nvSpPr>
        <cdr:cNvPr id="3" name="CaixaDeTexto 1"/>
        <cdr:cNvSpPr txBox="1"/>
      </cdr:nvSpPr>
      <cdr:spPr>
        <a:xfrm xmlns:a="http://schemas.openxmlformats.org/drawingml/2006/main">
          <a:off x="4320241" y="767977"/>
          <a:ext cx="705971" cy="20917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pt-PT" sz="1000" baseline="0">
              <a:solidFill>
                <a:schemeClr val="bg1"/>
              </a:solidFill>
            </a:rPr>
            <a:t>Tempo activo</a:t>
          </a:r>
          <a:endParaRPr lang="pt-PT" sz="1000">
            <a:solidFill>
              <a:schemeClr val="bg1"/>
            </a:solidFill>
          </a:endParaRPr>
        </a:p>
      </cdr:txBody>
    </cdr:sp>
  </cdr:relSizeAnchor>
</c:userShapes>
</file>

<file path=xl/drawings/drawing66.xml><?xml version="1.0" encoding="utf-8"?>
<c:userShapes xmlns:c="http://schemas.openxmlformats.org/drawingml/2006/chart">
  <cdr:relSizeAnchor xmlns:cdr="http://schemas.openxmlformats.org/drawingml/2006/chartDrawing">
    <cdr:from>
      <cdr:x>0.64541</cdr:x>
      <cdr:y>0.32421</cdr:y>
    </cdr:from>
    <cdr:to>
      <cdr:x>0.84941</cdr:x>
      <cdr:y>0.50111</cdr:y>
    </cdr:to>
    <cdr:sp macro="" textlink="">
      <cdr:nvSpPr>
        <cdr:cNvPr id="2" name="CaixaDeTexto 1"/>
        <cdr:cNvSpPr txBox="1"/>
      </cdr:nvSpPr>
      <cdr:spPr>
        <a:xfrm xmlns:a="http://schemas.openxmlformats.org/drawingml/2006/main">
          <a:off x="3334124" y="487829"/>
          <a:ext cx="1053845" cy="26618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pt-PT" sz="1000">
              <a:solidFill>
                <a:schemeClr val="bg1"/>
              </a:solidFill>
            </a:rPr>
            <a:t>Tempo</a:t>
          </a:r>
          <a:r>
            <a:rPr lang="pt-PT" sz="1000" baseline="0">
              <a:solidFill>
                <a:schemeClr val="bg1"/>
              </a:solidFill>
            </a:rPr>
            <a:t> inactivo</a:t>
          </a:r>
        </a:p>
      </cdr:txBody>
    </cdr:sp>
  </cdr:relSizeAnchor>
  <cdr:relSizeAnchor xmlns:cdr="http://schemas.openxmlformats.org/drawingml/2006/chartDrawing">
    <cdr:from>
      <cdr:x>0.83847</cdr:x>
      <cdr:y>0.45826</cdr:y>
    </cdr:from>
    <cdr:to>
      <cdr:x>0.97513</cdr:x>
      <cdr:y>0.59728</cdr:y>
    </cdr:to>
    <cdr:sp macro="" textlink="">
      <cdr:nvSpPr>
        <cdr:cNvPr id="3" name="CaixaDeTexto 1"/>
        <cdr:cNvSpPr txBox="1"/>
      </cdr:nvSpPr>
      <cdr:spPr>
        <a:xfrm xmlns:a="http://schemas.openxmlformats.org/drawingml/2006/main">
          <a:off x="4331447" y="689535"/>
          <a:ext cx="705971" cy="20917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pt-PT" sz="1000" baseline="0">
              <a:solidFill>
                <a:schemeClr val="bg1"/>
              </a:solidFill>
            </a:rPr>
            <a:t>Tempo activo</a:t>
          </a:r>
          <a:endParaRPr lang="pt-PT" sz="1000">
            <a:solidFill>
              <a:schemeClr val="bg1"/>
            </a:solidFill>
          </a:endParaRPr>
        </a:p>
      </cdr:txBody>
    </cdr:sp>
  </cdr:relSizeAnchor>
</c:userShapes>
</file>

<file path=xl/drawings/drawing67.xml><?xml version="1.0" encoding="utf-8"?>
<c:userShapes xmlns:c="http://schemas.openxmlformats.org/drawingml/2006/chart">
  <cdr:relSizeAnchor xmlns:cdr="http://schemas.openxmlformats.org/drawingml/2006/chartDrawing">
    <cdr:from>
      <cdr:x>0.64324</cdr:x>
      <cdr:y>0.33927</cdr:y>
    </cdr:from>
    <cdr:to>
      <cdr:x>0.84724</cdr:x>
      <cdr:y>0.50197</cdr:y>
    </cdr:to>
    <cdr:sp macro="" textlink="">
      <cdr:nvSpPr>
        <cdr:cNvPr id="2" name="CaixaDeTexto 1"/>
        <cdr:cNvSpPr txBox="1"/>
      </cdr:nvSpPr>
      <cdr:spPr>
        <a:xfrm xmlns:a="http://schemas.openxmlformats.org/drawingml/2006/main">
          <a:off x="3322917" y="555065"/>
          <a:ext cx="1053845" cy="26618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pt-PT" sz="1000">
              <a:solidFill>
                <a:schemeClr val="bg1"/>
              </a:solidFill>
            </a:rPr>
            <a:t>Tempo</a:t>
          </a:r>
          <a:r>
            <a:rPr lang="pt-PT" sz="1000" baseline="0">
              <a:solidFill>
                <a:schemeClr val="bg1"/>
              </a:solidFill>
            </a:rPr>
            <a:t> inactivo</a:t>
          </a:r>
        </a:p>
      </cdr:txBody>
    </cdr:sp>
  </cdr:relSizeAnchor>
  <cdr:relSizeAnchor xmlns:cdr="http://schemas.openxmlformats.org/drawingml/2006/chartDrawing">
    <cdr:from>
      <cdr:x>0.84064</cdr:x>
      <cdr:y>0.47626</cdr:y>
    </cdr:from>
    <cdr:to>
      <cdr:x>0.9773</cdr:x>
      <cdr:y>0.60411</cdr:y>
    </cdr:to>
    <cdr:sp macro="" textlink="">
      <cdr:nvSpPr>
        <cdr:cNvPr id="3" name="CaixaDeTexto 1"/>
        <cdr:cNvSpPr txBox="1"/>
      </cdr:nvSpPr>
      <cdr:spPr>
        <a:xfrm xmlns:a="http://schemas.openxmlformats.org/drawingml/2006/main">
          <a:off x="4342653" y="779183"/>
          <a:ext cx="705971" cy="20917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pt-PT" sz="1000" baseline="0">
              <a:solidFill>
                <a:schemeClr val="bg1"/>
              </a:solidFill>
            </a:rPr>
            <a:t>Tempo activo</a:t>
          </a:r>
          <a:endParaRPr lang="pt-PT" sz="1000">
            <a:solidFill>
              <a:schemeClr val="bg1"/>
            </a:solidFill>
          </a:endParaRPr>
        </a:p>
      </cdr:txBody>
    </cdr:sp>
  </cdr:relSizeAnchor>
</c:userShapes>
</file>

<file path=xl/drawings/drawing68.xml><?xml version="1.0" encoding="utf-8"?>
<c:userShapes xmlns:c="http://schemas.openxmlformats.org/drawingml/2006/chart">
  <cdr:relSizeAnchor xmlns:cdr="http://schemas.openxmlformats.org/drawingml/2006/chartDrawing">
    <cdr:from>
      <cdr:x>0.71265</cdr:x>
      <cdr:y>0.32421</cdr:y>
    </cdr:from>
    <cdr:to>
      <cdr:x>0.91665</cdr:x>
      <cdr:y>0.50111</cdr:y>
    </cdr:to>
    <cdr:sp macro="" textlink="">
      <cdr:nvSpPr>
        <cdr:cNvPr id="2" name="CaixaDeTexto 1"/>
        <cdr:cNvSpPr txBox="1"/>
      </cdr:nvSpPr>
      <cdr:spPr>
        <a:xfrm xmlns:a="http://schemas.openxmlformats.org/drawingml/2006/main">
          <a:off x="3681506" y="487830"/>
          <a:ext cx="1053845" cy="26618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pt-PT" sz="1000">
              <a:solidFill>
                <a:schemeClr val="bg1"/>
              </a:solidFill>
            </a:rPr>
            <a:t>Tempo</a:t>
          </a:r>
          <a:r>
            <a:rPr lang="pt-PT" sz="1000" baseline="0">
              <a:solidFill>
                <a:schemeClr val="bg1"/>
              </a:solidFill>
            </a:rPr>
            <a:t> inactivo</a:t>
          </a:r>
        </a:p>
      </cdr:txBody>
    </cdr:sp>
  </cdr:relSizeAnchor>
  <cdr:relSizeAnchor xmlns:cdr="http://schemas.openxmlformats.org/drawingml/2006/chartDrawing">
    <cdr:from>
      <cdr:x>0.83847</cdr:x>
      <cdr:y>0.46571</cdr:y>
    </cdr:from>
    <cdr:to>
      <cdr:x>0.97513</cdr:x>
      <cdr:y>0.60473</cdr:y>
    </cdr:to>
    <cdr:sp macro="" textlink="">
      <cdr:nvSpPr>
        <cdr:cNvPr id="3" name="CaixaDeTexto 1"/>
        <cdr:cNvSpPr txBox="1"/>
      </cdr:nvSpPr>
      <cdr:spPr>
        <a:xfrm xmlns:a="http://schemas.openxmlformats.org/drawingml/2006/main">
          <a:off x="4331447" y="700741"/>
          <a:ext cx="705971" cy="20917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pt-PT" sz="1000" baseline="0">
              <a:solidFill>
                <a:schemeClr val="bg1"/>
              </a:solidFill>
            </a:rPr>
            <a:t>Tempo activo</a:t>
          </a:r>
          <a:endParaRPr lang="pt-PT" sz="1000">
            <a:solidFill>
              <a:schemeClr val="bg1"/>
            </a:solidFill>
          </a:endParaRPr>
        </a:p>
      </cdr:txBody>
    </cdr:sp>
  </cdr:relSizeAnchor>
</c:userShapes>
</file>

<file path=xl/drawings/drawing69.xml><?xml version="1.0" encoding="utf-8"?>
<c:userShapes xmlns:c="http://schemas.openxmlformats.org/drawingml/2006/chart">
  <cdr:relSizeAnchor xmlns:cdr="http://schemas.openxmlformats.org/drawingml/2006/chartDrawing">
    <cdr:from>
      <cdr:x>0.64541</cdr:x>
      <cdr:y>0.33166</cdr:y>
    </cdr:from>
    <cdr:to>
      <cdr:x>0.84941</cdr:x>
      <cdr:y>0.50856</cdr:y>
    </cdr:to>
    <cdr:sp macro="" textlink="">
      <cdr:nvSpPr>
        <cdr:cNvPr id="2" name="CaixaDeTexto 1"/>
        <cdr:cNvSpPr txBox="1"/>
      </cdr:nvSpPr>
      <cdr:spPr>
        <a:xfrm xmlns:a="http://schemas.openxmlformats.org/drawingml/2006/main">
          <a:off x="3334123" y="499035"/>
          <a:ext cx="1053845" cy="26618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pt-PT" sz="1000">
              <a:solidFill>
                <a:schemeClr val="bg1"/>
              </a:solidFill>
            </a:rPr>
            <a:t>Tempo</a:t>
          </a:r>
          <a:r>
            <a:rPr lang="pt-PT" sz="1000" baseline="0">
              <a:solidFill>
                <a:schemeClr val="bg1"/>
              </a:solidFill>
            </a:rPr>
            <a:t> inactivo</a:t>
          </a:r>
        </a:p>
      </cdr:txBody>
    </cdr:sp>
  </cdr:relSizeAnchor>
  <cdr:relSizeAnchor xmlns:cdr="http://schemas.openxmlformats.org/drawingml/2006/chartDrawing">
    <cdr:from>
      <cdr:x>0.84064</cdr:x>
      <cdr:y>0.47316</cdr:y>
    </cdr:from>
    <cdr:to>
      <cdr:x>0.97729</cdr:x>
      <cdr:y>0.61218</cdr:y>
    </cdr:to>
    <cdr:sp macro="" textlink="">
      <cdr:nvSpPr>
        <cdr:cNvPr id="3" name="CaixaDeTexto 1"/>
        <cdr:cNvSpPr txBox="1"/>
      </cdr:nvSpPr>
      <cdr:spPr>
        <a:xfrm xmlns:a="http://schemas.openxmlformats.org/drawingml/2006/main">
          <a:off x="4342653" y="711947"/>
          <a:ext cx="705971" cy="20917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pt-PT" sz="1000" baseline="0">
              <a:solidFill>
                <a:schemeClr val="bg1"/>
              </a:solidFill>
            </a:rPr>
            <a:t>Tempo activo</a:t>
          </a:r>
          <a:endParaRPr lang="pt-PT" sz="1000">
            <a:solidFill>
              <a:schemeClr val="bg1"/>
            </a:solidFill>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0.59134</cdr:x>
      <cdr:y>0.30612</cdr:y>
    </cdr:from>
    <cdr:to>
      <cdr:x>0.79567</cdr:x>
      <cdr:y>0.46423</cdr:y>
    </cdr:to>
    <cdr:sp macro="" textlink="">
      <cdr:nvSpPr>
        <cdr:cNvPr id="2" name="CaixaDeTexto 1"/>
        <cdr:cNvSpPr txBox="1"/>
      </cdr:nvSpPr>
      <cdr:spPr>
        <a:xfrm xmlns:a="http://schemas.openxmlformats.org/drawingml/2006/main">
          <a:off x="3145773" y="499036"/>
          <a:ext cx="1086970" cy="25773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pt-PT" sz="1000">
              <a:solidFill>
                <a:schemeClr val="bg1"/>
              </a:solidFill>
            </a:rPr>
            <a:t>Tempo</a:t>
          </a:r>
          <a:r>
            <a:rPr lang="pt-PT" sz="1000" baseline="0">
              <a:solidFill>
                <a:schemeClr val="bg1"/>
              </a:solidFill>
            </a:rPr>
            <a:t> inactivo</a:t>
          </a:r>
        </a:p>
      </cdr:txBody>
    </cdr:sp>
  </cdr:relSizeAnchor>
  <cdr:relSizeAnchor xmlns:cdr="http://schemas.openxmlformats.org/drawingml/2006/chartDrawing">
    <cdr:from>
      <cdr:x>0.81463</cdr:x>
      <cdr:y>0.51235</cdr:y>
    </cdr:from>
    <cdr:to>
      <cdr:x>0.99789</cdr:x>
      <cdr:y>0.64295</cdr:y>
    </cdr:to>
    <cdr:sp macro="" textlink="">
      <cdr:nvSpPr>
        <cdr:cNvPr id="3" name="CaixaDeTexto 1"/>
        <cdr:cNvSpPr txBox="1"/>
      </cdr:nvSpPr>
      <cdr:spPr>
        <a:xfrm xmlns:a="http://schemas.openxmlformats.org/drawingml/2006/main">
          <a:off x="4333595" y="835213"/>
          <a:ext cx="974912" cy="21291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pt-PT" sz="1000" baseline="0">
              <a:solidFill>
                <a:schemeClr val="bg1"/>
              </a:solidFill>
            </a:rPr>
            <a:t>Tempo activo</a:t>
          </a:r>
          <a:endParaRPr lang="pt-PT" sz="1000">
            <a:solidFill>
              <a:schemeClr val="bg1"/>
            </a:solidFill>
          </a:endParaRPr>
        </a:p>
      </cdr:txBody>
    </cdr:sp>
  </cdr:relSizeAnchor>
</c:userShapes>
</file>

<file path=xl/drawings/drawing70.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645322</xdr:colOff>
      <xdr:row>1</xdr:row>
      <xdr:rowOff>95250</xdr:rowOff>
    </xdr:to>
    <xdr:sp macro="" textlink="">
      <xdr:nvSpPr>
        <xdr:cNvPr id="2" name="Bisel 1">
          <a:hlinkClick xmlns:r="http://schemas.openxmlformats.org/officeDocument/2006/relationships" r:id="rId1"/>
        </xdr:cNvPr>
        <xdr:cNvSpPr/>
      </xdr:nvSpPr>
      <xdr:spPr>
        <a:xfrm>
          <a:off x="0" y="0"/>
          <a:ext cx="645322" cy="36195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PT" sz="1100"/>
            <a:t>Index</a:t>
          </a:r>
        </a:p>
      </xdr:txBody>
    </xdr:sp>
    <xdr:clientData/>
  </xdr:twoCellAnchor>
</xdr:wsDr>
</file>

<file path=xl/drawings/drawing71.xml><?xml version="1.0" encoding="utf-8"?>
<xdr:wsDr xmlns:xdr="http://schemas.openxmlformats.org/drawingml/2006/spreadsheetDrawing" xmlns:a="http://schemas.openxmlformats.org/drawingml/2006/main">
  <xdr:twoCellAnchor>
    <xdr:from>
      <xdr:col>0</xdr:col>
      <xdr:colOff>114300</xdr:colOff>
      <xdr:row>36</xdr:row>
      <xdr:rowOff>85724</xdr:rowOff>
    </xdr:from>
    <xdr:to>
      <xdr:col>8</xdr:col>
      <xdr:colOff>1266825</xdr:colOff>
      <xdr:row>50</xdr:row>
      <xdr:rowOff>133349</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342899</xdr:colOff>
      <xdr:row>1</xdr:row>
      <xdr:rowOff>0</xdr:rowOff>
    </xdr:from>
    <xdr:to>
      <xdr:col>14</xdr:col>
      <xdr:colOff>409575</xdr:colOff>
      <xdr:row>7</xdr:row>
      <xdr:rowOff>66675</xdr:rowOff>
    </xdr:to>
    <xdr:graphicFrame macro="">
      <xdr:nvGraphicFramePr>
        <xdr:cNvPr id="3"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323850</xdr:colOff>
      <xdr:row>21</xdr:row>
      <xdr:rowOff>133350</xdr:rowOff>
    </xdr:from>
    <xdr:to>
      <xdr:col>14</xdr:col>
      <xdr:colOff>438150</xdr:colOff>
      <xdr:row>29</xdr:row>
      <xdr:rowOff>0</xdr:rowOff>
    </xdr:to>
    <xdr:graphicFrame macro="">
      <xdr:nvGraphicFramePr>
        <xdr:cNvPr id="4" name="Gráfico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323850</xdr:colOff>
      <xdr:row>29</xdr:row>
      <xdr:rowOff>47625</xdr:rowOff>
    </xdr:from>
    <xdr:to>
      <xdr:col>18</xdr:col>
      <xdr:colOff>581025</xdr:colOff>
      <xdr:row>36</xdr:row>
      <xdr:rowOff>47625</xdr:rowOff>
    </xdr:to>
    <xdr:graphicFrame macro="">
      <xdr:nvGraphicFramePr>
        <xdr:cNvPr id="5" name="Gráfico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xdr:col>
      <xdr:colOff>333375</xdr:colOff>
      <xdr:row>36</xdr:row>
      <xdr:rowOff>114301</xdr:rowOff>
    </xdr:from>
    <xdr:to>
      <xdr:col>14</xdr:col>
      <xdr:colOff>390525</xdr:colOff>
      <xdr:row>42</xdr:row>
      <xdr:rowOff>104775</xdr:rowOff>
    </xdr:to>
    <xdr:graphicFrame macro="">
      <xdr:nvGraphicFramePr>
        <xdr:cNvPr id="6" name="Gráfico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304800</xdr:colOff>
      <xdr:row>43</xdr:row>
      <xdr:rowOff>9525</xdr:rowOff>
    </xdr:from>
    <xdr:to>
      <xdr:col>14</xdr:col>
      <xdr:colOff>352425</xdr:colOff>
      <xdr:row>50</xdr:row>
      <xdr:rowOff>19050</xdr:rowOff>
    </xdr:to>
    <xdr:graphicFrame macro="">
      <xdr:nvGraphicFramePr>
        <xdr:cNvPr id="7" name="Gráfico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9</xdr:col>
      <xdr:colOff>342900</xdr:colOff>
      <xdr:row>7</xdr:row>
      <xdr:rowOff>114300</xdr:rowOff>
    </xdr:from>
    <xdr:to>
      <xdr:col>14</xdr:col>
      <xdr:colOff>409576</xdr:colOff>
      <xdr:row>13</xdr:row>
      <xdr:rowOff>180975</xdr:rowOff>
    </xdr:to>
    <xdr:graphicFrame macro="">
      <xdr:nvGraphicFramePr>
        <xdr:cNvPr id="8" name="Gráfico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9</xdr:col>
      <xdr:colOff>323850</xdr:colOff>
      <xdr:row>14</xdr:row>
      <xdr:rowOff>38100</xdr:rowOff>
    </xdr:from>
    <xdr:to>
      <xdr:col>14</xdr:col>
      <xdr:colOff>419100</xdr:colOff>
      <xdr:row>21</xdr:row>
      <xdr:rowOff>104775</xdr:rowOff>
    </xdr:to>
    <xdr:graphicFrame macro="">
      <xdr:nvGraphicFramePr>
        <xdr:cNvPr id="9" name="Gráfico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0</xdr:colOff>
      <xdr:row>0</xdr:row>
      <xdr:rowOff>0</xdr:rowOff>
    </xdr:from>
    <xdr:to>
      <xdr:col>1</xdr:col>
      <xdr:colOff>445297</xdr:colOff>
      <xdr:row>1</xdr:row>
      <xdr:rowOff>171450</xdr:rowOff>
    </xdr:to>
    <xdr:sp macro="" textlink="">
      <xdr:nvSpPr>
        <xdr:cNvPr id="10" name="Bisel 9">
          <a:hlinkClick xmlns:r="http://schemas.openxmlformats.org/officeDocument/2006/relationships" r:id="rId9"/>
        </xdr:cNvPr>
        <xdr:cNvSpPr/>
      </xdr:nvSpPr>
      <xdr:spPr>
        <a:xfrm>
          <a:off x="0" y="0"/>
          <a:ext cx="645322" cy="36195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PT" sz="1100"/>
            <a:t>Index</a:t>
          </a:r>
        </a:p>
      </xdr:txBody>
    </xdr:sp>
    <xdr:clientData/>
  </xdr:twoCellAnchor>
</xdr:wsDr>
</file>

<file path=xl/drawings/drawing72.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445297</xdr:colOff>
      <xdr:row>1</xdr:row>
      <xdr:rowOff>171450</xdr:rowOff>
    </xdr:to>
    <xdr:sp macro="" textlink="">
      <xdr:nvSpPr>
        <xdr:cNvPr id="2" name="Bisel 1">
          <a:hlinkClick xmlns:r="http://schemas.openxmlformats.org/officeDocument/2006/relationships" r:id="rId1"/>
        </xdr:cNvPr>
        <xdr:cNvSpPr/>
      </xdr:nvSpPr>
      <xdr:spPr>
        <a:xfrm>
          <a:off x="0" y="0"/>
          <a:ext cx="645322" cy="36195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PT" sz="1100"/>
            <a:t>Index</a:t>
          </a:r>
        </a:p>
      </xdr:txBody>
    </xdr:sp>
    <xdr:clientData/>
  </xdr:twoCellAnchor>
  <xdr:twoCellAnchor editAs="oneCell">
    <xdr:from>
      <xdr:col>4</xdr:col>
      <xdr:colOff>609600</xdr:colOff>
      <xdr:row>47</xdr:row>
      <xdr:rowOff>85725</xdr:rowOff>
    </xdr:from>
    <xdr:to>
      <xdr:col>5</xdr:col>
      <xdr:colOff>333375</xdr:colOff>
      <xdr:row>50</xdr:row>
      <xdr:rowOff>145066</xdr:rowOff>
    </xdr:to>
    <xdr:pic>
      <xdr:nvPicPr>
        <xdr:cNvPr id="3" name="Imagem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000375" y="12468225"/>
          <a:ext cx="1057275" cy="630841"/>
        </a:xfrm>
        <a:prstGeom prst="rect">
          <a:avLst/>
        </a:prstGeom>
      </xdr:spPr>
    </xdr:pic>
    <xdr:clientData/>
  </xdr:twoCellAnchor>
  <xdr:twoCellAnchor editAs="oneCell">
    <xdr:from>
      <xdr:col>3</xdr:col>
      <xdr:colOff>47625</xdr:colOff>
      <xdr:row>52</xdr:row>
      <xdr:rowOff>180976</xdr:rowOff>
    </xdr:from>
    <xdr:to>
      <xdr:col>4</xdr:col>
      <xdr:colOff>209550</xdr:colOff>
      <xdr:row>56</xdr:row>
      <xdr:rowOff>48968</xdr:rowOff>
    </xdr:to>
    <xdr:pic>
      <xdr:nvPicPr>
        <xdr:cNvPr id="4" name="Imagem 3" descr="http://www.infoescola.com/wp-content/uploads/2009/08/full-1-d9e96191be.jpg"/>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743075" y="13515976"/>
          <a:ext cx="857250" cy="6299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645322</xdr:colOff>
      <xdr:row>1</xdr:row>
      <xdr:rowOff>171450</xdr:rowOff>
    </xdr:to>
    <xdr:sp macro="" textlink="">
      <xdr:nvSpPr>
        <xdr:cNvPr id="2" name="Bisel 1">
          <a:hlinkClick xmlns:r="http://schemas.openxmlformats.org/officeDocument/2006/relationships" r:id="rId1"/>
        </xdr:cNvPr>
        <xdr:cNvSpPr/>
      </xdr:nvSpPr>
      <xdr:spPr>
        <a:xfrm>
          <a:off x="0" y="0"/>
          <a:ext cx="645322" cy="36195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PT" sz="1100"/>
            <a:t>Index</a:t>
          </a:r>
        </a:p>
      </xdr:txBody>
    </xdr:sp>
    <xdr:clientData/>
  </xdr:twoCellAnchor>
  <xdr:twoCellAnchor>
    <xdr:from>
      <xdr:col>10</xdr:col>
      <xdr:colOff>268943</xdr:colOff>
      <xdr:row>4</xdr:row>
      <xdr:rowOff>89647</xdr:rowOff>
    </xdr:from>
    <xdr:to>
      <xdr:col>18</xdr:col>
      <xdr:colOff>593912</xdr:colOff>
      <xdr:row>12</xdr:row>
      <xdr:rowOff>165005</xdr:rowOff>
    </xdr:to>
    <xdr:graphicFrame macro="">
      <xdr:nvGraphicFramePr>
        <xdr:cNvPr id="19" name="Gráfico 1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19</xdr:col>
      <xdr:colOff>67237</xdr:colOff>
      <xdr:row>4</xdr:row>
      <xdr:rowOff>64152</xdr:rowOff>
    </xdr:from>
    <xdr:to>
      <xdr:col>27</xdr:col>
      <xdr:colOff>358590</xdr:colOff>
      <xdr:row>12</xdr:row>
      <xdr:rowOff>145676</xdr:rowOff>
    </xdr:to>
    <xdr:graphicFrame macro="">
      <xdr:nvGraphicFramePr>
        <xdr:cNvPr id="20" name="Gráfico 1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27</xdr:col>
      <xdr:colOff>459441</xdr:colOff>
      <xdr:row>4</xdr:row>
      <xdr:rowOff>56029</xdr:rowOff>
    </xdr:from>
    <xdr:to>
      <xdr:col>36</xdr:col>
      <xdr:colOff>145678</xdr:colOff>
      <xdr:row>12</xdr:row>
      <xdr:rowOff>137553</xdr:rowOff>
    </xdr:to>
    <xdr:graphicFrame macro="">
      <xdr:nvGraphicFramePr>
        <xdr:cNvPr id="21" name="Gráfico 2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36</xdr:col>
      <xdr:colOff>224118</xdr:colOff>
      <xdr:row>4</xdr:row>
      <xdr:rowOff>44824</xdr:rowOff>
    </xdr:from>
    <xdr:to>
      <xdr:col>44</xdr:col>
      <xdr:colOff>515473</xdr:colOff>
      <xdr:row>12</xdr:row>
      <xdr:rowOff>126348</xdr:rowOff>
    </xdr:to>
    <xdr:graphicFrame macro="">
      <xdr:nvGraphicFramePr>
        <xdr:cNvPr id="22" name="Gráfico 2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36</xdr:col>
      <xdr:colOff>235324</xdr:colOff>
      <xdr:row>13</xdr:row>
      <xdr:rowOff>11206</xdr:rowOff>
    </xdr:from>
    <xdr:to>
      <xdr:col>44</xdr:col>
      <xdr:colOff>526679</xdr:colOff>
      <xdr:row>21</xdr:row>
      <xdr:rowOff>92730</xdr:rowOff>
    </xdr:to>
    <xdr:graphicFrame macro="">
      <xdr:nvGraphicFramePr>
        <xdr:cNvPr id="23" name="Gráfico 2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45</xdr:col>
      <xdr:colOff>11206</xdr:colOff>
      <xdr:row>4</xdr:row>
      <xdr:rowOff>44823</xdr:rowOff>
    </xdr:from>
    <xdr:to>
      <xdr:col>53</xdr:col>
      <xdr:colOff>302562</xdr:colOff>
      <xdr:row>12</xdr:row>
      <xdr:rowOff>126347</xdr:rowOff>
    </xdr:to>
    <xdr:graphicFrame macro="">
      <xdr:nvGraphicFramePr>
        <xdr:cNvPr id="24" name="Gráfico 2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45</xdr:col>
      <xdr:colOff>22412</xdr:colOff>
      <xdr:row>13</xdr:row>
      <xdr:rowOff>11205</xdr:rowOff>
    </xdr:from>
    <xdr:to>
      <xdr:col>53</xdr:col>
      <xdr:colOff>313768</xdr:colOff>
      <xdr:row>21</xdr:row>
      <xdr:rowOff>92729</xdr:rowOff>
    </xdr:to>
    <xdr:graphicFrame macro="">
      <xdr:nvGraphicFramePr>
        <xdr:cNvPr id="25" name="Gráfico 2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45</xdr:col>
      <xdr:colOff>27505</xdr:colOff>
      <xdr:row>22</xdr:row>
      <xdr:rowOff>41767</xdr:rowOff>
    </xdr:from>
    <xdr:to>
      <xdr:col>53</xdr:col>
      <xdr:colOff>318861</xdr:colOff>
      <xdr:row>30</xdr:row>
      <xdr:rowOff>123291</xdr:rowOff>
    </xdr:to>
    <xdr:graphicFrame macro="">
      <xdr:nvGraphicFramePr>
        <xdr:cNvPr id="27" name="Gráfico 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45</xdr:col>
      <xdr:colOff>27505</xdr:colOff>
      <xdr:row>31</xdr:row>
      <xdr:rowOff>19356</xdr:rowOff>
    </xdr:from>
    <xdr:to>
      <xdr:col>53</xdr:col>
      <xdr:colOff>318861</xdr:colOff>
      <xdr:row>39</xdr:row>
      <xdr:rowOff>100880</xdr:rowOff>
    </xdr:to>
    <xdr:graphicFrame macro="">
      <xdr:nvGraphicFramePr>
        <xdr:cNvPr id="28" name="Gráfico 2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45</xdr:col>
      <xdr:colOff>38712</xdr:colOff>
      <xdr:row>40</xdr:row>
      <xdr:rowOff>8150</xdr:rowOff>
    </xdr:from>
    <xdr:to>
      <xdr:col>53</xdr:col>
      <xdr:colOff>330068</xdr:colOff>
      <xdr:row>48</xdr:row>
      <xdr:rowOff>89674</xdr:rowOff>
    </xdr:to>
    <xdr:graphicFrame macro="">
      <xdr:nvGraphicFramePr>
        <xdr:cNvPr id="31" name="Gráfico 3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53</xdr:col>
      <xdr:colOff>437030</xdr:colOff>
      <xdr:row>4</xdr:row>
      <xdr:rowOff>44823</xdr:rowOff>
    </xdr:from>
    <xdr:to>
      <xdr:col>62</xdr:col>
      <xdr:colOff>123268</xdr:colOff>
      <xdr:row>12</xdr:row>
      <xdr:rowOff>126347</xdr:rowOff>
    </xdr:to>
    <xdr:graphicFrame macro="">
      <xdr:nvGraphicFramePr>
        <xdr:cNvPr id="32" name="Gráfico 3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62</xdr:col>
      <xdr:colOff>280148</xdr:colOff>
      <xdr:row>4</xdr:row>
      <xdr:rowOff>56028</xdr:rowOff>
    </xdr:from>
    <xdr:to>
      <xdr:col>70</xdr:col>
      <xdr:colOff>571504</xdr:colOff>
      <xdr:row>12</xdr:row>
      <xdr:rowOff>137552</xdr:rowOff>
    </xdr:to>
    <xdr:graphicFrame macro="">
      <xdr:nvGraphicFramePr>
        <xdr:cNvPr id="33" name="Gráfico 3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62</xdr:col>
      <xdr:colOff>268941</xdr:colOff>
      <xdr:row>13</xdr:row>
      <xdr:rowOff>11206</xdr:rowOff>
    </xdr:from>
    <xdr:to>
      <xdr:col>70</xdr:col>
      <xdr:colOff>560297</xdr:colOff>
      <xdr:row>21</xdr:row>
      <xdr:rowOff>92730</xdr:rowOff>
    </xdr:to>
    <xdr:graphicFrame macro="">
      <xdr:nvGraphicFramePr>
        <xdr:cNvPr id="35" name="Gráfico 3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62</xdr:col>
      <xdr:colOff>257735</xdr:colOff>
      <xdr:row>21</xdr:row>
      <xdr:rowOff>179294</xdr:rowOff>
    </xdr:from>
    <xdr:to>
      <xdr:col>70</xdr:col>
      <xdr:colOff>549091</xdr:colOff>
      <xdr:row>30</xdr:row>
      <xdr:rowOff>70318</xdr:rowOff>
    </xdr:to>
    <xdr:graphicFrame macro="">
      <xdr:nvGraphicFramePr>
        <xdr:cNvPr id="39" name="Gráfico 3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62</xdr:col>
      <xdr:colOff>268941</xdr:colOff>
      <xdr:row>30</xdr:row>
      <xdr:rowOff>168088</xdr:rowOff>
    </xdr:from>
    <xdr:to>
      <xdr:col>70</xdr:col>
      <xdr:colOff>560297</xdr:colOff>
      <xdr:row>39</xdr:row>
      <xdr:rowOff>59112</xdr:rowOff>
    </xdr:to>
    <xdr:graphicFrame macro="">
      <xdr:nvGraphicFramePr>
        <xdr:cNvPr id="40" name="Gráfico 3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62</xdr:col>
      <xdr:colOff>280147</xdr:colOff>
      <xdr:row>39</xdr:row>
      <xdr:rowOff>145676</xdr:rowOff>
    </xdr:from>
    <xdr:to>
      <xdr:col>70</xdr:col>
      <xdr:colOff>571503</xdr:colOff>
      <xdr:row>48</xdr:row>
      <xdr:rowOff>36700</xdr:rowOff>
    </xdr:to>
    <xdr:graphicFrame macro="">
      <xdr:nvGraphicFramePr>
        <xdr:cNvPr id="41" name="Gráfico 4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wsDr>
</file>

<file path=xl/drawings/drawing74.xml><?xml version="1.0" encoding="utf-8"?>
<c:userShapes xmlns:c="http://schemas.openxmlformats.org/drawingml/2006/chart">
  <cdr:relSizeAnchor xmlns:cdr="http://schemas.openxmlformats.org/drawingml/2006/chartDrawing">
    <cdr:from>
      <cdr:x>0.84281</cdr:x>
      <cdr:y>0.47317</cdr:y>
    </cdr:from>
    <cdr:to>
      <cdr:x>0.97947</cdr:x>
      <cdr:y>0.60396</cdr:y>
    </cdr:to>
    <cdr:sp macro="" textlink="">
      <cdr:nvSpPr>
        <cdr:cNvPr id="2" name="CaixaDeTexto 1"/>
        <cdr:cNvSpPr txBox="1"/>
      </cdr:nvSpPr>
      <cdr:spPr>
        <a:xfrm xmlns:a="http://schemas.openxmlformats.org/drawingml/2006/main">
          <a:off x="4353859" y="756771"/>
          <a:ext cx="705971" cy="20917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pt-PT" sz="1000" baseline="0">
              <a:solidFill>
                <a:schemeClr val="bg1"/>
              </a:solidFill>
            </a:rPr>
            <a:t>Tempo activo</a:t>
          </a:r>
          <a:endParaRPr lang="pt-PT" sz="1000">
            <a:solidFill>
              <a:schemeClr val="bg1"/>
            </a:solidFill>
          </a:endParaRPr>
        </a:p>
      </cdr:txBody>
    </cdr:sp>
  </cdr:relSizeAnchor>
  <cdr:relSizeAnchor xmlns:cdr="http://schemas.openxmlformats.org/drawingml/2006/chartDrawing">
    <cdr:from>
      <cdr:x>0.64107</cdr:x>
      <cdr:y>0.34705</cdr:y>
    </cdr:from>
    <cdr:to>
      <cdr:x>0.85148</cdr:x>
      <cdr:y>0.5082</cdr:y>
    </cdr:to>
    <cdr:sp macro="" textlink="">
      <cdr:nvSpPr>
        <cdr:cNvPr id="3" name="CaixaDeTexto 1"/>
        <cdr:cNvSpPr txBox="1"/>
      </cdr:nvSpPr>
      <cdr:spPr>
        <a:xfrm xmlns:a="http://schemas.openxmlformats.org/drawingml/2006/main">
          <a:off x="3311712" y="555064"/>
          <a:ext cx="1086970" cy="25773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pt-PT" sz="1000">
              <a:solidFill>
                <a:schemeClr val="bg1"/>
              </a:solidFill>
            </a:rPr>
            <a:t>Tempo</a:t>
          </a:r>
          <a:r>
            <a:rPr lang="pt-PT" sz="1000" baseline="0">
              <a:solidFill>
                <a:schemeClr val="bg1"/>
              </a:solidFill>
            </a:rPr>
            <a:t> inactivo</a:t>
          </a:r>
        </a:p>
      </cdr:txBody>
    </cdr:sp>
  </cdr:relSizeAnchor>
</c:userShapes>
</file>

<file path=xl/drawings/drawing75.xml><?xml version="1.0" encoding="utf-8"?>
<c:userShapes xmlns:c="http://schemas.openxmlformats.org/drawingml/2006/chart">
  <cdr:relSizeAnchor xmlns:cdr="http://schemas.openxmlformats.org/drawingml/2006/chartDrawing">
    <cdr:from>
      <cdr:x>0.64309</cdr:x>
      <cdr:y>0.35968</cdr:y>
    </cdr:from>
    <cdr:to>
      <cdr:x>0.85488</cdr:x>
      <cdr:y>0.52021</cdr:y>
    </cdr:to>
    <cdr:sp macro="" textlink="">
      <cdr:nvSpPr>
        <cdr:cNvPr id="2" name="CaixaDeTexto 1"/>
        <cdr:cNvSpPr txBox="1"/>
      </cdr:nvSpPr>
      <cdr:spPr>
        <a:xfrm xmlns:a="http://schemas.openxmlformats.org/drawingml/2006/main">
          <a:off x="3300506" y="577476"/>
          <a:ext cx="1086970" cy="25773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pt-PT" sz="1000">
              <a:solidFill>
                <a:schemeClr val="bg1"/>
              </a:solidFill>
            </a:rPr>
            <a:t>Tempo</a:t>
          </a:r>
          <a:r>
            <a:rPr lang="pt-PT" sz="1000" baseline="0">
              <a:solidFill>
                <a:schemeClr val="bg1"/>
              </a:solidFill>
            </a:rPr>
            <a:t> inactivo</a:t>
          </a:r>
        </a:p>
      </cdr:txBody>
    </cdr:sp>
  </cdr:relSizeAnchor>
  <cdr:relSizeAnchor xmlns:cdr="http://schemas.openxmlformats.org/drawingml/2006/chartDrawing">
    <cdr:from>
      <cdr:x>0.83959</cdr:x>
      <cdr:y>0.47833</cdr:y>
    </cdr:from>
    <cdr:to>
      <cdr:x>0.97715</cdr:x>
      <cdr:y>0.60862</cdr:y>
    </cdr:to>
    <cdr:sp macro="" textlink="">
      <cdr:nvSpPr>
        <cdr:cNvPr id="3" name="CaixaDeTexto 1"/>
        <cdr:cNvSpPr txBox="1"/>
      </cdr:nvSpPr>
      <cdr:spPr>
        <a:xfrm xmlns:a="http://schemas.openxmlformats.org/drawingml/2006/main">
          <a:off x="4309036" y="767976"/>
          <a:ext cx="705971" cy="20917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pt-PT" sz="1000" baseline="0">
              <a:solidFill>
                <a:schemeClr val="bg1"/>
              </a:solidFill>
            </a:rPr>
            <a:t>Tempo activo</a:t>
          </a:r>
          <a:endParaRPr lang="pt-PT" sz="1000">
            <a:solidFill>
              <a:schemeClr val="bg1"/>
            </a:solidFill>
          </a:endParaRPr>
        </a:p>
      </cdr:txBody>
    </cdr:sp>
  </cdr:relSizeAnchor>
</c:userShapes>
</file>

<file path=xl/drawings/drawing76.xml><?xml version="1.0" encoding="utf-8"?>
<c:userShapes xmlns:c="http://schemas.openxmlformats.org/drawingml/2006/chart">
  <cdr:relSizeAnchor xmlns:cdr="http://schemas.openxmlformats.org/drawingml/2006/chartDrawing">
    <cdr:from>
      <cdr:x>0.63872</cdr:x>
      <cdr:y>0.3527</cdr:y>
    </cdr:from>
    <cdr:to>
      <cdr:x>0.85051</cdr:x>
      <cdr:y>0.51323</cdr:y>
    </cdr:to>
    <cdr:sp macro="" textlink="">
      <cdr:nvSpPr>
        <cdr:cNvPr id="2" name="CaixaDeTexto 1"/>
        <cdr:cNvSpPr txBox="1"/>
      </cdr:nvSpPr>
      <cdr:spPr>
        <a:xfrm xmlns:a="http://schemas.openxmlformats.org/drawingml/2006/main">
          <a:off x="3278094" y="566271"/>
          <a:ext cx="1086970" cy="25773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pt-PT" sz="1000">
              <a:solidFill>
                <a:schemeClr val="bg1"/>
              </a:solidFill>
            </a:rPr>
            <a:t>Tempo</a:t>
          </a:r>
          <a:r>
            <a:rPr lang="pt-PT" sz="1000" baseline="0">
              <a:solidFill>
                <a:schemeClr val="bg1"/>
              </a:solidFill>
            </a:rPr>
            <a:t> inactivo</a:t>
          </a:r>
        </a:p>
      </cdr:txBody>
    </cdr:sp>
  </cdr:relSizeAnchor>
  <cdr:relSizeAnchor xmlns:cdr="http://schemas.openxmlformats.org/drawingml/2006/chartDrawing">
    <cdr:from>
      <cdr:x>0.83959</cdr:x>
      <cdr:y>0.47135</cdr:y>
    </cdr:from>
    <cdr:to>
      <cdr:x>0.97715</cdr:x>
      <cdr:y>0.60164</cdr:y>
    </cdr:to>
    <cdr:sp macro="" textlink="">
      <cdr:nvSpPr>
        <cdr:cNvPr id="3" name="CaixaDeTexto 1"/>
        <cdr:cNvSpPr txBox="1"/>
      </cdr:nvSpPr>
      <cdr:spPr>
        <a:xfrm xmlns:a="http://schemas.openxmlformats.org/drawingml/2006/main">
          <a:off x="4309035" y="756771"/>
          <a:ext cx="705971" cy="20917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pt-PT" sz="1000" baseline="0">
              <a:solidFill>
                <a:schemeClr val="bg1"/>
              </a:solidFill>
            </a:rPr>
            <a:t>Tempo activo</a:t>
          </a:r>
          <a:endParaRPr lang="pt-PT" sz="1000">
            <a:solidFill>
              <a:schemeClr val="bg1"/>
            </a:solidFill>
          </a:endParaRPr>
        </a:p>
      </cdr:txBody>
    </cdr:sp>
  </cdr:relSizeAnchor>
</c:userShapes>
</file>

<file path=xl/drawings/drawing77.xml><?xml version="1.0" encoding="utf-8"?>
<c:userShapes xmlns:c="http://schemas.openxmlformats.org/drawingml/2006/chart">
  <cdr:relSizeAnchor xmlns:cdr="http://schemas.openxmlformats.org/drawingml/2006/chartDrawing">
    <cdr:from>
      <cdr:x>0.63872</cdr:x>
      <cdr:y>0.33874</cdr:y>
    </cdr:from>
    <cdr:to>
      <cdr:x>0.85051</cdr:x>
      <cdr:y>0.49927</cdr:y>
    </cdr:to>
    <cdr:sp macro="" textlink="">
      <cdr:nvSpPr>
        <cdr:cNvPr id="2" name="CaixaDeTexto 1"/>
        <cdr:cNvSpPr txBox="1"/>
      </cdr:nvSpPr>
      <cdr:spPr>
        <a:xfrm xmlns:a="http://schemas.openxmlformats.org/drawingml/2006/main">
          <a:off x="3278094" y="543859"/>
          <a:ext cx="1086970" cy="25773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pt-PT" sz="1000">
              <a:solidFill>
                <a:schemeClr val="bg1"/>
              </a:solidFill>
            </a:rPr>
            <a:t>Tempo</a:t>
          </a:r>
          <a:r>
            <a:rPr lang="pt-PT" sz="1000" baseline="0">
              <a:solidFill>
                <a:schemeClr val="bg1"/>
              </a:solidFill>
            </a:rPr>
            <a:t> inactivo</a:t>
          </a:r>
        </a:p>
      </cdr:txBody>
    </cdr:sp>
  </cdr:relSizeAnchor>
  <cdr:relSizeAnchor xmlns:cdr="http://schemas.openxmlformats.org/drawingml/2006/chartDrawing">
    <cdr:from>
      <cdr:x>0.84396</cdr:x>
      <cdr:y>0.47135</cdr:y>
    </cdr:from>
    <cdr:to>
      <cdr:x>0.98151</cdr:x>
      <cdr:y>0.60164</cdr:y>
    </cdr:to>
    <cdr:sp macro="" textlink="">
      <cdr:nvSpPr>
        <cdr:cNvPr id="3" name="CaixaDeTexto 1"/>
        <cdr:cNvSpPr txBox="1"/>
      </cdr:nvSpPr>
      <cdr:spPr>
        <a:xfrm xmlns:a="http://schemas.openxmlformats.org/drawingml/2006/main">
          <a:off x="4331447" y="756770"/>
          <a:ext cx="705971" cy="20917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pt-PT" sz="1000" baseline="0">
              <a:solidFill>
                <a:schemeClr val="bg1"/>
              </a:solidFill>
            </a:rPr>
            <a:t>Tempo activo</a:t>
          </a:r>
          <a:endParaRPr lang="pt-PT" sz="1000">
            <a:solidFill>
              <a:schemeClr val="bg1"/>
            </a:solidFill>
          </a:endParaRPr>
        </a:p>
      </cdr:txBody>
    </cdr:sp>
  </cdr:relSizeAnchor>
</c:userShapes>
</file>

<file path=xl/drawings/drawing78.xml><?xml version="1.0" encoding="utf-8"?>
<c:userShapes xmlns:c="http://schemas.openxmlformats.org/drawingml/2006/chart">
  <cdr:relSizeAnchor xmlns:cdr="http://schemas.openxmlformats.org/drawingml/2006/chartDrawing">
    <cdr:from>
      <cdr:x>0.6409</cdr:x>
      <cdr:y>0.34572</cdr:y>
    </cdr:from>
    <cdr:to>
      <cdr:x>0.85269</cdr:x>
      <cdr:y>0.50625</cdr:y>
    </cdr:to>
    <cdr:sp macro="" textlink="">
      <cdr:nvSpPr>
        <cdr:cNvPr id="2" name="CaixaDeTexto 1"/>
        <cdr:cNvSpPr txBox="1"/>
      </cdr:nvSpPr>
      <cdr:spPr>
        <a:xfrm xmlns:a="http://schemas.openxmlformats.org/drawingml/2006/main">
          <a:off x="3289300" y="555064"/>
          <a:ext cx="1086970" cy="25773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pt-PT" sz="1000">
              <a:solidFill>
                <a:schemeClr val="bg1"/>
              </a:solidFill>
            </a:rPr>
            <a:t>Tempo</a:t>
          </a:r>
          <a:r>
            <a:rPr lang="pt-PT" sz="1000" baseline="0">
              <a:solidFill>
                <a:schemeClr val="bg1"/>
              </a:solidFill>
            </a:rPr>
            <a:t> inactivo</a:t>
          </a:r>
        </a:p>
      </cdr:txBody>
    </cdr:sp>
  </cdr:relSizeAnchor>
  <cdr:relSizeAnchor xmlns:cdr="http://schemas.openxmlformats.org/drawingml/2006/chartDrawing">
    <cdr:from>
      <cdr:x>0.83959</cdr:x>
      <cdr:y>0.47135</cdr:y>
    </cdr:from>
    <cdr:to>
      <cdr:x>0.97715</cdr:x>
      <cdr:y>0.60164</cdr:y>
    </cdr:to>
    <cdr:sp macro="" textlink="">
      <cdr:nvSpPr>
        <cdr:cNvPr id="3" name="CaixaDeTexto 1"/>
        <cdr:cNvSpPr txBox="1"/>
      </cdr:nvSpPr>
      <cdr:spPr>
        <a:xfrm xmlns:a="http://schemas.openxmlformats.org/drawingml/2006/main">
          <a:off x="4309035" y="756771"/>
          <a:ext cx="705971" cy="20917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pt-PT" sz="1000" baseline="0">
              <a:solidFill>
                <a:schemeClr val="bg1"/>
              </a:solidFill>
            </a:rPr>
            <a:t>Tempo activo</a:t>
          </a:r>
          <a:endParaRPr lang="pt-PT" sz="1000">
            <a:solidFill>
              <a:schemeClr val="bg1"/>
            </a:solidFill>
          </a:endParaRPr>
        </a:p>
      </cdr:txBody>
    </cdr:sp>
  </cdr:relSizeAnchor>
</c:userShapes>
</file>

<file path=xl/drawings/drawing79.xml><?xml version="1.0" encoding="utf-8"?>
<c:userShapes xmlns:c="http://schemas.openxmlformats.org/drawingml/2006/chart">
  <cdr:relSizeAnchor xmlns:cdr="http://schemas.openxmlformats.org/drawingml/2006/chartDrawing">
    <cdr:from>
      <cdr:x>0.45095</cdr:x>
      <cdr:y>0.3527</cdr:y>
    </cdr:from>
    <cdr:to>
      <cdr:x>0.66274</cdr:x>
      <cdr:y>0.51323</cdr:y>
    </cdr:to>
    <cdr:sp macro="" textlink="">
      <cdr:nvSpPr>
        <cdr:cNvPr id="2" name="CaixaDeTexto 1"/>
        <cdr:cNvSpPr txBox="1"/>
      </cdr:nvSpPr>
      <cdr:spPr>
        <a:xfrm xmlns:a="http://schemas.openxmlformats.org/drawingml/2006/main">
          <a:off x="2314388" y="566271"/>
          <a:ext cx="1086970" cy="25773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pt-PT" sz="1000">
              <a:solidFill>
                <a:schemeClr val="bg1"/>
              </a:solidFill>
            </a:rPr>
            <a:t>Tempo</a:t>
          </a:r>
          <a:r>
            <a:rPr lang="pt-PT" sz="1000" baseline="0">
              <a:solidFill>
                <a:schemeClr val="bg1"/>
              </a:solidFill>
            </a:rPr>
            <a:t> inactivo</a:t>
          </a:r>
        </a:p>
      </cdr:txBody>
    </cdr:sp>
  </cdr:relSizeAnchor>
  <cdr:relSizeAnchor xmlns:cdr="http://schemas.openxmlformats.org/drawingml/2006/chartDrawing">
    <cdr:from>
      <cdr:x>0.83959</cdr:x>
      <cdr:y>0.47135</cdr:y>
    </cdr:from>
    <cdr:to>
      <cdr:x>0.97715</cdr:x>
      <cdr:y>0.60164</cdr:y>
    </cdr:to>
    <cdr:sp macro="" textlink="">
      <cdr:nvSpPr>
        <cdr:cNvPr id="3" name="CaixaDeTexto 1"/>
        <cdr:cNvSpPr txBox="1"/>
      </cdr:nvSpPr>
      <cdr:spPr>
        <a:xfrm xmlns:a="http://schemas.openxmlformats.org/drawingml/2006/main">
          <a:off x="4309035" y="756771"/>
          <a:ext cx="705971" cy="20917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pt-PT" sz="1000" baseline="0">
              <a:solidFill>
                <a:schemeClr val="bg1"/>
              </a:solidFill>
            </a:rPr>
            <a:t>Tempo activo</a:t>
          </a:r>
          <a:endParaRPr lang="pt-PT" sz="1000">
            <a:solidFill>
              <a:schemeClr val="bg1"/>
            </a:solidFill>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0.64645</cdr:x>
      <cdr:y>0.32809</cdr:y>
    </cdr:from>
    <cdr:to>
      <cdr:x>0.85058</cdr:x>
      <cdr:y>0.48358</cdr:y>
    </cdr:to>
    <cdr:sp macro="" textlink="">
      <cdr:nvSpPr>
        <cdr:cNvPr id="2" name="CaixaDeTexto 1"/>
        <cdr:cNvSpPr txBox="1"/>
      </cdr:nvSpPr>
      <cdr:spPr>
        <a:xfrm xmlns:a="http://schemas.openxmlformats.org/drawingml/2006/main">
          <a:off x="3442168" y="543859"/>
          <a:ext cx="1086970" cy="25773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pt-PT" sz="1000">
              <a:solidFill>
                <a:schemeClr val="bg1"/>
              </a:solidFill>
            </a:rPr>
            <a:t>Tempo</a:t>
          </a:r>
          <a:r>
            <a:rPr lang="pt-PT" sz="1000" baseline="0">
              <a:solidFill>
                <a:schemeClr val="bg1"/>
              </a:solidFill>
            </a:rPr>
            <a:t> inactivo</a:t>
          </a:r>
        </a:p>
      </cdr:txBody>
    </cdr:sp>
  </cdr:relSizeAnchor>
  <cdr:relSizeAnchor xmlns:cdr="http://schemas.openxmlformats.org/drawingml/2006/chartDrawing">
    <cdr:from>
      <cdr:x>0.84006</cdr:x>
      <cdr:y>0.53766</cdr:y>
    </cdr:from>
    <cdr:to>
      <cdr:x>1</cdr:x>
      <cdr:y>0.68903</cdr:y>
    </cdr:to>
    <cdr:sp macro="" textlink="">
      <cdr:nvSpPr>
        <cdr:cNvPr id="3" name="CaixaDeTexto 1"/>
        <cdr:cNvSpPr txBox="1"/>
      </cdr:nvSpPr>
      <cdr:spPr>
        <a:xfrm xmlns:a="http://schemas.openxmlformats.org/drawingml/2006/main">
          <a:off x="4473107" y="891241"/>
          <a:ext cx="851647" cy="25091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pt-PT" sz="900" baseline="0">
              <a:solidFill>
                <a:schemeClr val="bg1"/>
              </a:solidFill>
            </a:rPr>
            <a:t>Tempo activo</a:t>
          </a:r>
          <a:endParaRPr lang="pt-PT" sz="900">
            <a:solidFill>
              <a:schemeClr val="bg1"/>
            </a:solidFill>
          </a:endParaRPr>
        </a:p>
      </cdr:txBody>
    </cdr:sp>
  </cdr:relSizeAnchor>
</c:userShapes>
</file>

<file path=xl/drawings/drawing80.xml><?xml version="1.0" encoding="utf-8"?>
<c:userShapes xmlns:c="http://schemas.openxmlformats.org/drawingml/2006/chart">
  <cdr:relSizeAnchor xmlns:cdr="http://schemas.openxmlformats.org/drawingml/2006/chartDrawing">
    <cdr:from>
      <cdr:x>0.6409</cdr:x>
      <cdr:y>0.34572</cdr:y>
    </cdr:from>
    <cdr:to>
      <cdr:x>0.85269</cdr:x>
      <cdr:y>0.50625</cdr:y>
    </cdr:to>
    <cdr:sp macro="" textlink="">
      <cdr:nvSpPr>
        <cdr:cNvPr id="2" name="CaixaDeTexto 1"/>
        <cdr:cNvSpPr txBox="1"/>
      </cdr:nvSpPr>
      <cdr:spPr>
        <a:xfrm xmlns:a="http://schemas.openxmlformats.org/drawingml/2006/main">
          <a:off x="3289300" y="555065"/>
          <a:ext cx="1086970" cy="25773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pt-PT" sz="1000">
              <a:solidFill>
                <a:schemeClr val="bg1"/>
              </a:solidFill>
            </a:rPr>
            <a:t>Tempo</a:t>
          </a:r>
          <a:r>
            <a:rPr lang="pt-PT" sz="1000" baseline="0">
              <a:solidFill>
                <a:schemeClr val="bg1"/>
              </a:solidFill>
            </a:rPr>
            <a:t> inactivo</a:t>
          </a:r>
        </a:p>
      </cdr:txBody>
    </cdr:sp>
  </cdr:relSizeAnchor>
  <cdr:relSizeAnchor xmlns:cdr="http://schemas.openxmlformats.org/drawingml/2006/chartDrawing">
    <cdr:from>
      <cdr:x>0.84396</cdr:x>
      <cdr:y>0.47833</cdr:y>
    </cdr:from>
    <cdr:to>
      <cdr:x>0.98151</cdr:x>
      <cdr:y>0.60862</cdr:y>
    </cdr:to>
    <cdr:sp macro="" textlink="">
      <cdr:nvSpPr>
        <cdr:cNvPr id="3" name="CaixaDeTexto 1"/>
        <cdr:cNvSpPr txBox="1"/>
      </cdr:nvSpPr>
      <cdr:spPr>
        <a:xfrm xmlns:a="http://schemas.openxmlformats.org/drawingml/2006/main">
          <a:off x="4331447" y="767977"/>
          <a:ext cx="705971" cy="20917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pt-PT" sz="1000" baseline="0">
              <a:solidFill>
                <a:schemeClr val="bg1"/>
              </a:solidFill>
            </a:rPr>
            <a:t>Tempo activo</a:t>
          </a:r>
          <a:endParaRPr lang="pt-PT" sz="1000">
            <a:solidFill>
              <a:schemeClr val="bg1"/>
            </a:solidFill>
          </a:endParaRPr>
        </a:p>
      </cdr:txBody>
    </cdr:sp>
  </cdr:relSizeAnchor>
</c:userShapes>
</file>

<file path=xl/drawings/drawing81.xml><?xml version="1.0" encoding="utf-8"?>
<c:userShapes xmlns:c="http://schemas.openxmlformats.org/drawingml/2006/chart">
  <cdr:relSizeAnchor xmlns:cdr="http://schemas.openxmlformats.org/drawingml/2006/chartDrawing">
    <cdr:from>
      <cdr:x>0.46405</cdr:x>
      <cdr:y>0.35968</cdr:y>
    </cdr:from>
    <cdr:to>
      <cdr:x>0.67584</cdr:x>
      <cdr:y>0.52021</cdr:y>
    </cdr:to>
    <cdr:sp macro="" textlink="">
      <cdr:nvSpPr>
        <cdr:cNvPr id="2" name="CaixaDeTexto 1"/>
        <cdr:cNvSpPr txBox="1"/>
      </cdr:nvSpPr>
      <cdr:spPr>
        <a:xfrm xmlns:a="http://schemas.openxmlformats.org/drawingml/2006/main">
          <a:off x="2381624" y="577477"/>
          <a:ext cx="1086970" cy="25773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pt-PT" sz="1000">
              <a:solidFill>
                <a:schemeClr val="bg1"/>
              </a:solidFill>
            </a:rPr>
            <a:t>Tempo</a:t>
          </a:r>
          <a:r>
            <a:rPr lang="pt-PT" sz="1000" baseline="0">
              <a:solidFill>
                <a:schemeClr val="bg1"/>
              </a:solidFill>
            </a:rPr>
            <a:t> inactivo</a:t>
          </a:r>
        </a:p>
      </cdr:txBody>
    </cdr:sp>
  </cdr:relSizeAnchor>
  <cdr:relSizeAnchor xmlns:cdr="http://schemas.openxmlformats.org/drawingml/2006/chartDrawing">
    <cdr:from>
      <cdr:x>0.84396</cdr:x>
      <cdr:y>0.47135</cdr:y>
    </cdr:from>
    <cdr:to>
      <cdr:x>0.98151</cdr:x>
      <cdr:y>0.60164</cdr:y>
    </cdr:to>
    <cdr:sp macro="" textlink="">
      <cdr:nvSpPr>
        <cdr:cNvPr id="3" name="CaixaDeTexto 1"/>
        <cdr:cNvSpPr txBox="1"/>
      </cdr:nvSpPr>
      <cdr:spPr>
        <a:xfrm xmlns:a="http://schemas.openxmlformats.org/drawingml/2006/main">
          <a:off x="4331447" y="756770"/>
          <a:ext cx="705971" cy="20917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pt-PT" sz="1000" baseline="0">
              <a:solidFill>
                <a:schemeClr val="bg1"/>
              </a:solidFill>
            </a:rPr>
            <a:t>Tempo activo</a:t>
          </a:r>
          <a:endParaRPr lang="pt-PT" sz="1000">
            <a:solidFill>
              <a:schemeClr val="bg1"/>
            </a:solidFill>
          </a:endParaRPr>
        </a:p>
      </cdr:txBody>
    </cdr:sp>
  </cdr:relSizeAnchor>
</c:userShapes>
</file>

<file path=xl/drawings/drawing82.xml><?xml version="1.0" encoding="utf-8"?>
<c:userShapes xmlns:c="http://schemas.openxmlformats.org/drawingml/2006/chart">
  <cdr:relSizeAnchor xmlns:cdr="http://schemas.openxmlformats.org/drawingml/2006/chartDrawing">
    <cdr:from>
      <cdr:x>0.6409</cdr:x>
      <cdr:y>0.3527</cdr:y>
    </cdr:from>
    <cdr:to>
      <cdr:x>0.85269</cdr:x>
      <cdr:y>0.51323</cdr:y>
    </cdr:to>
    <cdr:sp macro="" textlink="">
      <cdr:nvSpPr>
        <cdr:cNvPr id="2" name="CaixaDeTexto 1"/>
        <cdr:cNvSpPr txBox="1"/>
      </cdr:nvSpPr>
      <cdr:spPr>
        <a:xfrm xmlns:a="http://schemas.openxmlformats.org/drawingml/2006/main">
          <a:off x="3289300" y="566271"/>
          <a:ext cx="1086970" cy="25773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pt-PT" sz="1000">
              <a:solidFill>
                <a:schemeClr val="bg1"/>
              </a:solidFill>
            </a:rPr>
            <a:t>Tempo</a:t>
          </a:r>
          <a:r>
            <a:rPr lang="pt-PT" sz="1000" baseline="0">
              <a:solidFill>
                <a:schemeClr val="bg1"/>
              </a:solidFill>
            </a:rPr>
            <a:t> inactivo</a:t>
          </a:r>
        </a:p>
      </cdr:txBody>
    </cdr:sp>
  </cdr:relSizeAnchor>
  <cdr:relSizeAnchor xmlns:cdr="http://schemas.openxmlformats.org/drawingml/2006/chartDrawing">
    <cdr:from>
      <cdr:x>0.84614</cdr:x>
      <cdr:y>0.47833</cdr:y>
    </cdr:from>
    <cdr:to>
      <cdr:x>0.9837</cdr:x>
      <cdr:y>0.60862</cdr:y>
    </cdr:to>
    <cdr:sp macro="" textlink="">
      <cdr:nvSpPr>
        <cdr:cNvPr id="3" name="CaixaDeTexto 1"/>
        <cdr:cNvSpPr txBox="1"/>
      </cdr:nvSpPr>
      <cdr:spPr>
        <a:xfrm xmlns:a="http://schemas.openxmlformats.org/drawingml/2006/main">
          <a:off x="4342653" y="767977"/>
          <a:ext cx="705971" cy="20917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pt-PT" sz="1000" baseline="0">
              <a:solidFill>
                <a:schemeClr val="bg1"/>
              </a:solidFill>
            </a:rPr>
            <a:t>Tempo activo</a:t>
          </a:r>
          <a:endParaRPr lang="pt-PT" sz="1000">
            <a:solidFill>
              <a:schemeClr val="bg1"/>
            </a:solidFill>
          </a:endParaRPr>
        </a:p>
      </cdr:txBody>
    </cdr:sp>
  </cdr:relSizeAnchor>
</c:userShapes>
</file>

<file path=xl/drawings/drawing83.xml><?xml version="1.0" encoding="utf-8"?>
<c:userShapes xmlns:c="http://schemas.openxmlformats.org/drawingml/2006/chart">
  <cdr:relSizeAnchor xmlns:cdr="http://schemas.openxmlformats.org/drawingml/2006/chartDrawing">
    <cdr:from>
      <cdr:x>0.25226</cdr:x>
      <cdr:y>0.3527</cdr:y>
    </cdr:from>
    <cdr:to>
      <cdr:x>0.46405</cdr:x>
      <cdr:y>0.51323</cdr:y>
    </cdr:to>
    <cdr:sp macro="" textlink="">
      <cdr:nvSpPr>
        <cdr:cNvPr id="2" name="CaixaDeTexto 1"/>
        <cdr:cNvSpPr txBox="1"/>
      </cdr:nvSpPr>
      <cdr:spPr>
        <a:xfrm xmlns:a="http://schemas.openxmlformats.org/drawingml/2006/main">
          <a:off x="1294653" y="566271"/>
          <a:ext cx="1086970" cy="25773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pt-PT" sz="1000">
              <a:solidFill>
                <a:schemeClr val="bg1"/>
              </a:solidFill>
            </a:rPr>
            <a:t>Tempo</a:t>
          </a:r>
          <a:r>
            <a:rPr lang="pt-PT" sz="1000" baseline="0">
              <a:solidFill>
                <a:schemeClr val="bg1"/>
              </a:solidFill>
            </a:rPr>
            <a:t> inactivo</a:t>
          </a:r>
        </a:p>
      </cdr:txBody>
    </cdr:sp>
  </cdr:relSizeAnchor>
  <cdr:relSizeAnchor xmlns:cdr="http://schemas.openxmlformats.org/drawingml/2006/chartDrawing">
    <cdr:from>
      <cdr:x>0.84614</cdr:x>
      <cdr:y>0.47833</cdr:y>
    </cdr:from>
    <cdr:to>
      <cdr:x>0.9837</cdr:x>
      <cdr:y>0.60862</cdr:y>
    </cdr:to>
    <cdr:sp macro="" textlink="">
      <cdr:nvSpPr>
        <cdr:cNvPr id="3" name="CaixaDeTexto 1"/>
        <cdr:cNvSpPr txBox="1"/>
      </cdr:nvSpPr>
      <cdr:spPr>
        <a:xfrm xmlns:a="http://schemas.openxmlformats.org/drawingml/2006/main">
          <a:off x="4342653" y="767976"/>
          <a:ext cx="705971" cy="20917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pt-PT" sz="1000" baseline="0">
              <a:solidFill>
                <a:schemeClr val="bg1"/>
              </a:solidFill>
            </a:rPr>
            <a:t>Tempo activo</a:t>
          </a:r>
          <a:endParaRPr lang="pt-PT" sz="1000">
            <a:solidFill>
              <a:schemeClr val="bg1"/>
            </a:solidFill>
          </a:endParaRPr>
        </a:p>
      </cdr:txBody>
    </cdr:sp>
  </cdr:relSizeAnchor>
</c:userShapes>
</file>

<file path=xl/drawings/drawing84.xml><?xml version="1.0" encoding="utf-8"?>
<c:userShapes xmlns:c="http://schemas.openxmlformats.org/drawingml/2006/chart">
  <cdr:relSizeAnchor xmlns:cdr="http://schemas.openxmlformats.org/drawingml/2006/chartDrawing">
    <cdr:from>
      <cdr:x>0.63654</cdr:x>
      <cdr:y>0.3527</cdr:y>
    </cdr:from>
    <cdr:to>
      <cdr:x>0.84833</cdr:x>
      <cdr:y>0.51323</cdr:y>
    </cdr:to>
    <cdr:sp macro="" textlink="">
      <cdr:nvSpPr>
        <cdr:cNvPr id="2" name="CaixaDeTexto 1"/>
        <cdr:cNvSpPr txBox="1"/>
      </cdr:nvSpPr>
      <cdr:spPr>
        <a:xfrm xmlns:a="http://schemas.openxmlformats.org/drawingml/2006/main">
          <a:off x="3266888" y="566271"/>
          <a:ext cx="1086970" cy="25773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pt-PT" sz="1000">
              <a:solidFill>
                <a:schemeClr val="bg1"/>
              </a:solidFill>
            </a:rPr>
            <a:t>Tempo</a:t>
          </a:r>
          <a:r>
            <a:rPr lang="pt-PT" sz="1000" baseline="0">
              <a:solidFill>
                <a:schemeClr val="bg1"/>
              </a:solidFill>
            </a:rPr>
            <a:t> inactivo</a:t>
          </a:r>
        </a:p>
      </cdr:txBody>
    </cdr:sp>
  </cdr:relSizeAnchor>
  <cdr:relSizeAnchor xmlns:cdr="http://schemas.openxmlformats.org/drawingml/2006/chartDrawing">
    <cdr:from>
      <cdr:x>0.84396</cdr:x>
      <cdr:y>0.47833</cdr:y>
    </cdr:from>
    <cdr:to>
      <cdr:x>0.98151</cdr:x>
      <cdr:y>0.60862</cdr:y>
    </cdr:to>
    <cdr:sp macro="" textlink="">
      <cdr:nvSpPr>
        <cdr:cNvPr id="3" name="CaixaDeTexto 1"/>
        <cdr:cNvSpPr txBox="1"/>
      </cdr:nvSpPr>
      <cdr:spPr>
        <a:xfrm xmlns:a="http://schemas.openxmlformats.org/drawingml/2006/main">
          <a:off x="4331447" y="767976"/>
          <a:ext cx="705971" cy="20917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pt-PT" sz="1000" baseline="0">
              <a:solidFill>
                <a:schemeClr val="bg1"/>
              </a:solidFill>
            </a:rPr>
            <a:t>Tempo activo</a:t>
          </a:r>
          <a:endParaRPr lang="pt-PT" sz="1000">
            <a:solidFill>
              <a:schemeClr val="bg1"/>
            </a:solidFill>
          </a:endParaRPr>
        </a:p>
      </cdr:txBody>
    </cdr:sp>
  </cdr:relSizeAnchor>
</c:userShapes>
</file>

<file path=xl/drawings/drawing85.xml><?xml version="1.0" encoding="utf-8"?>
<c:userShapes xmlns:c="http://schemas.openxmlformats.org/drawingml/2006/chart">
  <cdr:relSizeAnchor xmlns:cdr="http://schemas.openxmlformats.org/drawingml/2006/chartDrawing">
    <cdr:from>
      <cdr:x>0.70859</cdr:x>
      <cdr:y>0.33176</cdr:y>
    </cdr:from>
    <cdr:to>
      <cdr:x>0.92038</cdr:x>
      <cdr:y>0.49229</cdr:y>
    </cdr:to>
    <cdr:sp macro="" textlink="">
      <cdr:nvSpPr>
        <cdr:cNvPr id="3" name="CaixaDeTexto 1"/>
        <cdr:cNvSpPr txBox="1"/>
      </cdr:nvSpPr>
      <cdr:spPr>
        <a:xfrm xmlns:a="http://schemas.openxmlformats.org/drawingml/2006/main">
          <a:off x="3636682" y="532653"/>
          <a:ext cx="1086970" cy="25773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pt-PT" sz="1000">
              <a:solidFill>
                <a:schemeClr val="bg1"/>
              </a:solidFill>
            </a:rPr>
            <a:t>Tempo</a:t>
          </a:r>
          <a:r>
            <a:rPr lang="pt-PT" sz="1000" baseline="0">
              <a:solidFill>
                <a:schemeClr val="bg1"/>
              </a:solidFill>
            </a:rPr>
            <a:t> inactivo</a:t>
          </a:r>
        </a:p>
      </cdr:txBody>
    </cdr:sp>
  </cdr:relSizeAnchor>
  <cdr:relSizeAnchor xmlns:cdr="http://schemas.openxmlformats.org/drawingml/2006/chartDrawing">
    <cdr:from>
      <cdr:x>0.86245</cdr:x>
      <cdr:y>0.4574</cdr:y>
    </cdr:from>
    <cdr:to>
      <cdr:x>1</cdr:x>
      <cdr:y>0.58768</cdr:y>
    </cdr:to>
    <cdr:sp macro="" textlink="">
      <cdr:nvSpPr>
        <cdr:cNvPr id="4" name="CaixaDeTexto 1"/>
        <cdr:cNvSpPr txBox="1"/>
      </cdr:nvSpPr>
      <cdr:spPr>
        <a:xfrm xmlns:a="http://schemas.openxmlformats.org/drawingml/2006/main">
          <a:off x="4426326" y="734359"/>
          <a:ext cx="705971" cy="20917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pt-PT" sz="1000" baseline="0">
              <a:solidFill>
                <a:schemeClr val="bg1"/>
              </a:solidFill>
            </a:rPr>
            <a:t>Tempo activo</a:t>
          </a:r>
          <a:endParaRPr lang="pt-PT" sz="1000">
            <a:solidFill>
              <a:schemeClr val="bg1"/>
            </a:solidFill>
          </a:endParaRPr>
        </a:p>
      </cdr:txBody>
    </cdr:sp>
  </cdr:relSizeAnchor>
</c:userShapes>
</file>

<file path=xl/drawings/drawing86.xml><?xml version="1.0" encoding="utf-8"?>
<c:userShapes xmlns:c="http://schemas.openxmlformats.org/drawingml/2006/chart">
  <cdr:relSizeAnchor xmlns:cdr="http://schemas.openxmlformats.org/drawingml/2006/chartDrawing">
    <cdr:from>
      <cdr:x>0.65182</cdr:x>
      <cdr:y>0.34572</cdr:y>
    </cdr:from>
    <cdr:to>
      <cdr:x>0.86361</cdr:x>
      <cdr:y>0.50625</cdr:y>
    </cdr:to>
    <cdr:sp macro="" textlink="">
      <cdr:nvSpPr>
        <cdr:cNvPr id="2" name="CaixaDeTexto 1"/>
        <cdr:cNvSpPr txBox="1"/>
      </cdr:nvSpPr>
      <cdr:spPr>
        <a:xfrm xmlns:a="http://schemas.openxmlformats.org/drawingml/2006/main">
          <a:off x="3345329" y="555065"/>
          <a:ext cx="1086970" cy="25773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pt-PT" sz="1000">
              <a:solidFill>
                <a:schemeClr val="bg1"/>
              </a:solidFill>
            </a:rPr>
            <a:t>Tempo</a:t>
          </a:r>
          <a:r>
            <a:rPr lang="pt-PT" sz="1000" baseline="0">
              <a:solidFill>
                <a:schemeClr val="bg1"/>
              </a:solidFill>
            </a:rPr>
            <a:t> inactivo</a:t>
          </a:r>
        </a:p>
      </cdr:txBody>
    </cdr:sp>
  </cdr:relSizeAnchor>
  <cdr:relSizeAnchor xmlns:cdr="http://schemas.openxmlformats.org/drawingml/2006/chartDrawing">
    <cdr:from>
      <cdr:x>0.85051</cdr:x>
      <cdr:y>0.46437</cdr:y>
    </cdr:from>
    <cdr:to>
      <cdr:x>0.98806</cdr:x>
      <cdr:y>0.59466</cdr:y>
    </cdr:to>
    <cdr:sp macro="" textlink="">
      <cdr:nvSpPr>
        <cdr:cNvPr id="3" name="CaixaDeTexto 1"/>
        <cdr:cNvSpPr txBox="1"/>
      </cdr:nvSpPr>
      <cdr:spPr>
        <a:xfrm xmlns:a="http://schemas.openxmlformats.org/drawingml/2006/main">
          <a:off x="4365065" y="745565"/>
          <a:ext cx="705971" cy="20917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pt-PT" sz="1000" baseline="0">
              <a:solidFill>
                <a:schemeClr val="bg1"/>
              </a:solidFill>
            </a:rPr>
            <a:t>Tempo activo</a:t>
          </a:r>
          <a:endParaRPr lang="pt-PT" sz="1000">
            <a:solidFill>
              <a:schemeClr val="bg1"/>
            </a:solidFill>
          </a:endParaRPr>
        </a:p>
      </cdr:txBody>
    </cdr:sp>
  </cdr:relSizeAnchor>
</c:userShapes>
</file>

<file path=xl/drawings/drawing87.xml><?xml version="1.0" encoding="utf-8"?>
<c:userShapes xmlns:c="http://schemas.openxmlformats.org/drawingml/2006/chart">
  <cdr:relSizeAnchor xmlns:cdr="http://schemas.openxmlformats.org/drawingml/2006/chartDrawing">
    <cdr:from>
      <cdr:x>0.65182</cdr:x>
      <cdr:y>0.34572</cdr:y>
    </cdr:from>
    <cdr:to>
      <cdr:x>0.86361</cdr:x>
      <cdr:y>0.50625</cdr:y>
    </cdr:to>
    <cdr:sp macro="" textlink="">
      <cdr:nvSpPr>
        <cdr:cNvPr id="2" name="CaixaDeTexto 1"/>
        <cdr:cNvSpPr txBox="1"/>
      </cdr:nvSpPr>
      <cdr:spPr>
        <a:xfrm xmlns:a="http://schemas.openxmlformats.org/drawingml/2006/main">
          <a:off x="3345330" y="555065"/>
          <a:ext cx="1086970" cy="25773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pt-PT" sz="1000">
              <a:solidFill>
                <a:schemeClr val="bg1"/>
              </a:solidFill>
            </a:rPr>
            <a:t>Tempo</a:t>
          </a:r>
          <a:r>
            <a:rPr lang="pt-PT" sz="1000" baseline="0">
              <a:solidFill>
                <a:schemeClr val="bg1"/>
              </a:solidFill>
            </a:rPr>
            <a:t> inactivo</a:t>
          </a:r>
        </a:p>
      </cdr:txBody>
    </cdr:sp>
  </cdr:relSizeAnchor>
  <cdr:relSizeAnchor xmlns:cdr="http://schemas.openxmlformats.org/drawingml/2006/chartDrawing">
    <cdr:from>
      <cdr:x>0.85051</cdr:x>
      <cdr:y>0.47135</cdr:y>
    </cdr:from>
    <cdr:to>
      <cdr:x>0.98806</cdr:x>
      <cdr:y>0.60164</cdr:y>
    </cdr:to>
    <cdr:sp macro="" textlink="">
      <cdr:nvSpPr>
        <cdr:cNvPr id="3" name="CaixaDeTexto 1"/>
        <cdr:cNvSpPr txBox="1"/>
      </cdr:nvSpPr>
      <cdr:spPr>
        <a:xfrm xmlns:a="http://schemas.openxmlformats.org/drawingml/2006/main">
          <a:off x="4365064" y="756771"/>
          <a:ext cx="705971" cy="20917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pt-PT" sz="1000" baseline="0">
              <a:solidFill>
                <a:schemeClr val="bg1"/>
              </a:solidFill>
            </a:rPr>
            <a:t>Tempo activo</a:t>
          </a:r>
          <a:endParaRPr lang="pt-PT" sz="1000">
            <a:solidFill>
              <a:schemeClr val="bg1"/>
            </a:solidFill>
          </a:endParaRPr>
        </a:p>
      </cdr:txBody>
    </cdr:sp>
  </cdr:relSizeAnchor>
</c:userShapes>
</file>

<file path=xl/drawings/drawing88.xml><?xml version="1.0" encoding="utf-8"?>
<c:userShapes xmlns:c="http://schemas.openxmlformats.org/drawingml/2006/chart">
  <cdr:relSizeAnchor xmlns:cdr="http://schemas.openxmlformats.org/drawingml/2006/chartDrawing">
    <cdr:from>
      <cdr:x>0.64745</cdr:x>
      <cdr:y>0.34572</cdr:y>
    </cdr:from>
    <cdr:to>
      <cdr:x>0.85924</cdr:x>
      <cdr:y>0.50625</cdr:y>
    </cdr:to>
    <cdr:sp macro="" textlink="">
      <cdr:nvSpPr>
        <cdr:cNvPr id="2" name="CaixaDeTexto 1"/>
        <cdr:cNvSpPr txBox="1"/>
      </cdr:nvSpPr>
      <cdr:spPr>
        <a:xfrm xmlns:a="http://schemas.openxmlformats.org/drawingml/2006/main">
          <a:off x="3322918" y="555065"/>
          <a:ext cx="1086970" cy="25773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pt-PT" sz="1000">
              <a:solidFill>
                <a:schemeClr val="bg1"/>
              </a:solidFill>
            </a:rPr>
            <a:t>Tempo</a:t>
          </a:r>
          <a:r>
            <a:rPr lang="pt-PT" sz="1000" baseline="0">
              <a:solidFill>
                <a:schemeClr val="bg1"/>
              </a:solidFill>
            </a:rPr>
            <a:t> inactivo</a:t>
          </a:r>
        </a:p>
      </cdr:txBody>
    </cdr:sp>
  </cdr:relSizeAnchor>
  <cdr:relSizeAnchor xmlns:cdr="http://schemas.openxmlformats.org/drawingml/2006/chartDrawing">
    <cdr:from>
      <cdr:x>0.85051</cdr:x>
      <cdr:y>0.47135</cdr:y>
    </cdr:from>
    <cdr:to>
      <cdr:x>0.98806</cdr:x>
      <cdr:y>0.60164</cdr:y>
    </cdr:to>
    <cdr:sp macro="" textlink="">
      <cdr:nvSpPr>
        <cdr:cNvPr id="3" name="CaixaDeTexto 1"/>
        <cdr:cNvSpPr txBox="1"/>
      </cdr:nvSpPr>
      <cdr:spPr>
        <a:xfrm xmlns:a="http://schemas.openxmlformats.org/drawingml/2006/main">
          <a:off x="4365065" y="756771"/>
          <a:ext cx="705971" cy="20917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pt-PT" sz="1000" baseline="0">
              <a:solidFill>
                <a:schemeClr val="bg1"/>
              </a:solidFill>
            </a:rPr>
            <a:t>Tempo activo</a:t>
          </a:r>
          <a:endParaRPr lang="pt-PT" sz="1000">
            <a:solidFill>
              <a:schemeClr val="bg1"/>
            </a:solidFill>
          </a:endParaRPr>
        </a:p>
      </cdr:txBody>
    </cdr:sp>
  </cdr:relSizeAnchor>
</c:userShapes>
</file>

<file path=xl/drawings/drawing89.xml><?xml version="1.0" encoding="utf-8"?>
<c:userShapes xmlns:c="http://schemas.openxmlformats.org/drawingml/2006/chart">
  <cdr:relSizeAnchor xmlns:cdr="http://schemas.openxmlformats.org/drawingml/2006/chartDrawing">
    <cdr:from>
      <cdr:x>0.64745</cdr:x>
      <cdr:y>0.33176</cdr:y>
    </cdr:from>
    <cdr:to>
      <cdr:x>0.85924</cdr:x>
      <cdr:y>0.49229</cdr:y>
    </cdr:to>
    <cdr:sp macro="" textlink="">
      <cdr:nvSpPr>
        <cdr:cNvPr id="2" name="CaixaDeTexto 1"/>
        <cdr:cNvSpPr txBox="1"/>
      </cdr:nvSpPr>
      <cdr:spPr>
        <a:xfrm xmlns:a="http://schemas.openxmlformats.org/drawingml/2006/main">
          <a:off x="3322917" y="532653"/>
          <a:ext cx="1086970" cy="25773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pt-PT" sz="1000">
              <a:solidFill>
                <a:schemeClr val="bg1"/>
              </a:solidFill>
            </a:rPr>
            <a:t>Tempo</a:t>
          </a:r>
          <a:r>
            <a:rPr lang="pt-PT" sz="1000" baseline="0">
              <a:solidFill>
                <a:schemeClr val="bg1"/>
              </a:solidFill>
            </a:rPr>
            <a:t> inactivo</a:t>
          </a:r>
        </a:p>
      </cdr:txBody>
    </cdr:sp>
  </cdr:relSizeAnchor>
  <cdr:relSizeAnchor xmlns:cdr="http://schemas.openxmlformats.org/drawingml/2006/chartDrawing">
    <cdr:from>
      <cdr:x>0.85051</cdr:x>
      <cdr:y>0.47135</cdr:y>
    </cdr:from>
    <cdr:to>
      <cdr:x>0.98806</cdr:x>
      <cdr:y>0.60164</cdr:y>
    </cdr:to>
    <cdr:sp macro="" textlink="">
      <cdr:nvSpPr>
        <cdr:cNvPr id="3" name="CaixaDeTexto 1"/>
        <cdr:cNvSpPr txBox="1"/>
      </cdr:nvSpPr>
      <cdr:spPr>
        <a:xfrm xmlns:a="http://schemas.openxmlformats.org/drawingml/2006/main">
          <a:off x="4365065" y="756770"/>
          <a:ext cx="705971" cy="20917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pt-PT" sz="1000" baseline="0">
              <a:solidFill>
                <a:schemeClr val="bg1"/>
              </a:solidFill>
            </a:rPr>
            <a:t>Tempo activo</a:t>
          </a:r>
          <a:endParaRPr lang="pt-PT" sz="1000">
            <a:solidFill>
              <a:schemeClr val="bg1"/>
            </a:solidFill>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0.64596</cdr:x>
      <cdr:y>0.31373</cdr:y>
    </cdr:from>
    <cdr:to>
      <cdr:x>0.85038</cdr:x>
      <cdr:y>0.46879</cdr:y>
    </cdr:to>
    <cdr:sp macro="" textlink="">
      <cdr:nvSpPr>
        <cdr:cNvPr id="2" name="CaixaDeTexto 1"/>
        <cdr:cNvSpPr txBox="1"/>
      </cdr:nvSpPr>
      <cdr:spPr>
        <a:xfrm xmlns:a="http://schemas.openxmlformats.org/drawingml/2006/main">
          <a:off x="3434885" y="521447"/>
          <a:ext cx="1086970" cy="25773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pt-PT" sz="1000">
              <a:solidFill>
                <a:schemeClr val="bg1"/>
              </a:solidFill>
            </a:rPr>
            <a:t>Tempo</a:t>
          </a:r>
          <a:r>
            <a:rPr lang="pt-PT" sz="1000" baseline="0">
              <a:solidFill>
                <a:schemeClr val="bg1"/>
              </a:solidFill>
            </a:rPr>
            <a:t> inactivo</a:t>
          </a:r>
        </a:p>
      </cdr:txBody>
    </cdr:sp>
  </cdr:relSizeAnchor>
  <cdr:relSizeAnchor xmlns:cdr="http://schemas.openxmlformats.org/drawingml/2006/chartDrawing">
    <cdr:from>
      <cdr:x>0.83984</cdr:x>
      <cdr:y>0.52273</cdr:y>
    </cdr:from>
    <cdr:to>
      <cdr:x>1</cdr:x>
      <cdr:y>0.67369</cdr:y>
    </cdr:to>
    <cdr:sp macro="" textlink="">
      <cdr:nvSpPr>
        <cdr:cNvPr id="3" name="CaixaDeTexto 1"/>
        <cdr:cNvSpPr txBox="1"/>
      </cdr:nvSpPr>
      <cdr:spPr>
        <a:xfrm xmlns:a="http://schemas.openxmlformats.org/drawingml/2006/main">
          <a:off x="4465824" y="868829"/>
          <a:ext cx="851647" cy="25091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pt-PT" sz="900" baseline="0">
              <a:solidFill>
                <a:schemeClr val="bg1"/>
              </a:solidFill>
            </a:rPr>
            <a:t>Tempo activo</a:t>
          </a:r>
          <a:endParaRPr lang="pt-PT" sz="900">
            <a:solidFill>
              <a:schemeClr val="bg1"/>
            </a:solidFill>
          </a:endParaRPr>
        </a:p>
      </cdr:txBody>
    </cdr:sp>
  </cdr:relSizeAnchor>
</c:userShapes>
</file>

<file path=xl/drawings/drawing90.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254797</xdr:colOff>
      <xdr:row>1</xdr:row>
      <xdr:rowOff>95250</xdr:rowOff>
    </xdr:to>
    <xdr:sp macro="" textlink="">
      <xdr:nvSpPr>
        <xdr:cNvPr id="2" name="Bisel 1">
          <a:hlinkClick xmlns:r="http://schemas.openxmlformats.org/officeDocument/2006/relationships" r:id="rId1"/>
        </xdr:cNvPr>
        <xdr:cNvSpPr/>
      </xdr:nvSpPr>
      <xdr:spPr>
        <a:xfrm>
          <a:off x="0" y="0"/>
          <a:ext cx="645322" cy="36195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PT" sz="1100"/>
            <a:t>Index</a:t>
          </a:r>
        </a:p>
      </xdr:txBody>
    </xdr:sp>
    <xdr:clientData/>
  </xdr:twoCellAnchor>
</xdr:wsDr>
</file>

<file path=xl/drawings/drawing91.xml><?xml version="1.0" encoding="utf-8"?>
<xdr:wsDr xmlns:xdr="http://schemas.openxmlformats.org/drawingml/2006/spreadsheetDrawing" xmlns:a="http://schemas.openxmlformats.org/drawingml/2006/main">
  <xdr:twoCellAnchor>
    <xdr:from>
      <xdr:col>0</xdr:col>
      <xdr:colOff>114300</xdr:colOff>
      <xdr:row>26</xdr:row>
      <xdr:rowOff>85724</xdr:rowOff>
    </xdr:from>
    <xdr:to>
      <xdr:col>8</xdr:col>
      <xdr:colOff>1266825</xdr:colOff>
      <xdr:row>40</xdr:row>
      <xdr:rowOff>133349</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342899</xdr:colOff>
      <xdr:row>1</xdr:row>
      <xdr:rowOff>0</xdr:rowOff>
    </xdr:from>
    <xdr:to>
      <xdr:col>14</xdr:col>
      <xdr:colOff>409575</xdr:colOff>
      <xdr:row>7</xdr:row>
      <xdr:rowOff>66675</xdr:rowOff>
    </xdr:to>
    <xdr:graphicFrame macro="">
      <xdr:nvGraphicFramePr>
        <xdr:cNvPr id="3"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314325</xdr:colOff>
      <xdr:row>21</xdr:row>
      <xdr:rowOff>180975</xdr:rowOff>
    </xdr:from>
    <xdr:to>
      <xdr:col>14</xdr:col>
      <xdr:colOff>428625</xdr:colOff>
      <xdr:row>29</xdr:row>
      <xdr:rowOff>47625</xdr:rowOff>
    </xdr:to>
    <xdr:graphicFrame macro="">
      <xdr:nvGraphicFramePr>
        <xdr:cNvPr id="4" name="Gráfico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314325</xdr:colOff>
      <xdr:row>29</xdr:row>
      <xdr:rowOff>95249</xdr:rowOff>
    </xdr:from>
    <xdr:to>
      <xdr:col>14</xdr:col>
      <xdr:colOff>438150</xdr:colOff>
      <xdr:row>36</xdr:row>
      <xdr:rowOff>123824</xdr:rowOff>
    </xdr:to>
    <xdr:graphicFrame macro="">
      <xdr:nvGraphicFramePr>
        <xdr:cNvPr id="5" name="Gráfico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xdr:col>
      <xdr:colOff>314325</xdr:colOff>
      <xdr:row>37</xdr:row>
      <xdr:rowOff>0</xdr:rowOff>
    </xdr:from>
    <xdr:to>
      <xdr:col>14</xdr:col>
      <xdr:colOff>447675</xdr:colOff>
      <xdr:row>43</xdr:row>
      <xdr:rowOff>180975</xdr:rowOff>
    </xdr:to>
    <xdr:graphicFrame macro="">
      <xdr:nvGraphicFramePr>
        <xdr:cNvPr id="7" name="Gráfico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342900</xdr:colOff>
      <xdr:row>7</xdr:row>
      <xdr:rowOff>114300</xdr:rowOff>
    </xdr:from>
    <xdr:to>
      <xdr:col>14</xdr:col>
      <xdr:colOff>409576</xdr:colOff>
      <xdr:row>13</xdr:row>
      <xdr:rowOff>180975</xdr:rowOff>
    </xdr:to>
    <xdr:graphicFrame macro="">
      <xdr:nvGraphicFramePr>
        <xdr:cNvPr id="8" name="Gráfico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9</xdr:col>
      <xdr:colOff>323850</xdr:colOff>
      <xdr:row>14</xdr:row>
      <xdr:rowOff>38100</xdr:rowOff>
    </xdr:from>
    <xdr:to>
      <xdr:col>14</xdr:col>
      <xdr:colOff>419100</xdr:colOff>
      <xdr:row>21</xdr:row>
      <xdr:rowOff>104775</xdr:rowOff>
    </xdr:to>
    <xdr:graphicFrame macro="">
      <xdr:nvGraphicFramePr>
        <xdr:cNvPr id="9" name="Gráfico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0</xdr:colOff>
      <xdr:row>0</xdr:row>
      <xdr:rowOff>0</xdr:rowOff>
    </xdr:from>
    <xdr:to>
      <xdr:col>1</xdr:col>
      <xdr:colOff>445297</xdr:colOff>
      <xdr:row>1</xdr:row>
      <xdr:rowOff>171450</xdr:rowOff>
    </xdr:to>
    <xdr:sp macro="" textlink="">
      <xdr:nvSpPr>
        <xdr:cNvPr id="10" name="Bisel 9">
          <a:hlinkClick xmlns:r="http://schemas.openxmlformats.org/officeDocument/2006/relationships" r:id="rId8"/>
        </xdr:cNvPr>
        <xdr:cNvSpPr/>
      </xdr:nvSpPr>
      <xdr:spPr>
        <a:xfrm>
          <a:off x="0" y="0"/>
          <a:ext cx="645322" cy="36195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PT" sz="1100"/>
            <a:t>Index</a:t>
          </a:r>
        </a:p>
      </xdr:txBody>
    </xdr:sp>
    <xdr:clientData/>
  </xdr:twoCellAnchor>
</xdr:wsDr>
</file>

<file path=xl/drawings/drawing92.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445297</xdr:colOff>
      <xdr:row>1</xdr:row>
      <xdr:rowOff>171450</xdr:rowOff>
    </xdr:to>
    <xdr:sp macro="" textlink="">
      <xdr:nvSpPr>
        <xdr:cNvPr id="2" name="Bisel 1">
          <a:hlinkClick xmlns:r="http://schemas.openxmlformats.org/officeDocument/2006/relationships" r:id="rId1"/>
        </xdr:cNvPr>
        <xdr:cNvSpPr/>
      </xdr:nvSpPr>
      <xdr:spPr>
        <a:xfrm>
          <a:off x="0" y="0"/>
          <a:ext cx="645322" cy="36195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PT" sz="1100"/>
            <a:t>Index</a:t>
          </a:r>
        </a:p>
      </xdr:txBody>
    </xdr:sp>
    <xdr:clientData/>
  </xdr:twoCellAnchor>
  <xdr:twoCellAnchor editAs="oneCell">
    <xdr:from>
      <xdr:col>4</xdr:col>
      <xdr:colOff>609600</xdr:colOff>
      <xdr:row>37</xdr:row>
      <xdr:rowOff>85725</xdr:rowOff>
    </xdr:from>
    <xdr:to>
      <xdr:col>5</xdr:col>
      <xdr:colOff>333375</xdr:colOff>
      <xdr:row>40</xdr:row>
      <xdr:rowOff>145066</xdr:rowOff>
    </xdr:to>
    <xdr:pic>
      <xdr:nvPicPr>
        <xdr:cNvPr id="3" name="Imagem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000375" y="9039225"/>
          <a:ext cx="1057275" cy="630841"/>
        </a:xfrm>
        <a:prstGeom prst="rect">
          <a:avLst/>
        </a:prstGeom>
      </xdr:spPr>
    </xdr:pic>
    <xdr:clientData/>
  </xdr:twoCellAnchor>
  <xdr:twoCellAnchor editAs="oneCell">
    <xdr:from>
      <xdr:col>3</xdr:col>
      <xdr:colOff>47625</xdr:colOff>
      <xdr:row>42</xdr:row>
      <xdr:rowOff>180976</xdr:rowOff>
    </xdr:from>
    <xdr:to>
      <xdr:col>4</xdr:col>
      <xdr:colOff>209550</xdr:colOff>
      <xdr:row>46</xdr:row>
      <xdr:rowOff>48968</xdr:rowOff>
    </xdr:to>
    <xdr:pic>
      <xdr:nvPicPr>
        <xdr:cNvPr id="4" name="Imagem 3" descr="http://www.infoescola.com/wp-content/uploads/2009/08/full-1-d9e96191be.jpg"/>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743075" y="10086976"/>
          <a:ext cx="857250" cy="6299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645322</xdr:colOff>
      <xdr:row>1</xdr:row>
      <xdr:rowOff>171450</xdr:rowOff>
    </xdr:to>
    <xdr:sp macro="" textlink="">
      <xdr:nvSpPr>
        <xdr:cNvPr id="2" name="Bisel 1">
          <a:hlinkClick xmlns:r="http://schemas.openxmlformats.org/officeDocument/2006/relationships" r:id="rId1"/>
        </xdr:cNvPr>
        <xdr:cNvSpPr/>
      </xdr:nvSpPr>
      <xdr:spPr>
        <a:xfrm>
          <a:off x="0" y="0"/>
          <a:ext cx="645322" cy="36195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PT" sz="1100"/>
            <a:t>Index</a:t>
          </a:r>
        </a:p>
      </xdr:txBody>
    </xdr:sp>
    <xdr:clientData/>
  </xdr:twoCellAnchor>
  <xdr:twoCellAnchor>
    <xdr:from>
      <xdr:col>10</xdr:col>
      <xdr:colOff>268943</xdr:colOff>
      <xdr:row>4</xdr:row>
      <xdr:rowOff>89647</xdr:rowOff>
    </xdr:from>
    <xdr:to>
      <xdr:col>18</xdr:col>
      <xdr:colOff>593912</xdr:colOff>
      <xdr:row>12</xdr:row>
      <xdr:rowOff>165005</xdr:rowOff>
    </xdr:to>
    <xdr:graphicFrame macro="">
      <xdr:nvGraphicFramePr>
        <xdr:cNvPr id="3"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19</xdr:col>
      <xdr:colOff>67237</xdr:colOff>
      <xdr:row>4</xdr:row>
      <xdr:rowOff>64152</xdr:rowOff>
    </xdr:from>
    <xdr:to>
      <xdr:col>27</xdr:col>
      <xdr:colOff>358590</xdr:colOff>
      <xdr:row>12</xdr:row>
      <xdr:rowOff>145676</xdr:rowOff>
    </xdr:to>
    <xdr:graphicFrame macro="">
      <xdr:nvGraphicFramePr>
        <xdr:cNvPr id="4" name="Gráfico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27</xdr:col>
      <xdr:colOff>459441</xdr:colOff>
      <xdr:row>4</xdr:row>
      <xdr:rowOff>56029</xdr:rowOff>
    </xdr:from>
    <xdr:to>
      <xdr:col>36</xdr:col>
      <xdr:colOff>145678</xdr:colOff>
      <xdr:row>12</xdr:row>
      <xdr:rowOff>137553</xdr:rowOff>
    </xdr:to>
    <xdr:graphicFrame macro="">
      <xdr:nvGraphicFramePr>
        <xdr:cNvPr id="5" name="Gráfico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36</xdr:col>
      <xdr:colOff>235324</xdr:colOff>
      <xdr:row>13</xdr:row>
      <xdr:rowOff>11206</xdr:rowOff>
    </xdr:from>
    <xdr:to>
      <xdr:col>44</xdr:col>
      <xdr:colOff>526679</xdr:colOff>
      <xdr:row>21</xdr:row>
      <xdr:rowOff>92730</xdr:rowOff>
    </xdr:to>
    <xdr:graphicFrame macro="">
      <xdr:nvGraphicFramePr>
        <xdr:cNvPr id="7" name="Gráfico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45</xdr:col>
      <xdr:colOff>11206</xdr:colOff>
      <xdr:row>4</xdr:row>
      <xdr:rowOff>44823</xdr:rowOff>
    </xdr:from>
    <xdr:to>
      <xdr:col>53</xdr:col>
      <xdr:colOff>302562</xdr:colOff>
      <xdr:row>12</xdr:row>
      <xdr:rowOff>126347</xdr:rowOff>
    </xdr:to>
    <xdr:graphicFrame macro="">
      <xdr:nvGraphicFramePr>
        <xdr:cNvPr id="8" name="Gráfico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45</xdr:col>
      <xdr:colOff>22412</xdr:colOff>
      <xdr:row>13</xdr:row>
      <xdr:rowOff>11205</xdr:rowOff>
    </xdr:from>
    <xdr:to>
      <xdr:col>53</xdr:col>
      <xdr:colOff>313768</xdr:colOff>
      <xdr:row>21</xdr:row>
      <xdr:rowOff>92729</xdr:rowOff>
    </xdr:to>
    <xdr:graphicFrame macro="">
      <xdr:nvGraphicFramePr>
        <xdr:cNvPr id="9" name="Gráfico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53</xdr:col>
      <xdr:colOff>459442</xdr:colOff>
      <xdr:row>4</xdr:row>
      <xdr:rowOff>56028</xdr:rowOff>
    </xdr:from>
    <xdr:to>
      <xdr:col>62</xdr:col>
      <xdr:colOff>145680</xdr:colOff>
      <xdr:row>12</xdr:row>
      <xdr:rowOff>137552</xdr:rowOff>
    </xdr:to>
    <xdr:graphicFrame macro="">
      <xdr:nvGraphicFramePr>
        <xdr:cNvPr id="14" name="Gráfico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36</xdr:col>
      <xdr:colOff>246529</xdr:colOff>
      <xdr:row>4</xdr:row>
      <xdr:rowOff>33617</xdr:rowOff>
    </xdr:from>
    <xdr:to>
      <xdr:col>44</xdr:col>
      <xdr:colOff>537884</xdr:colOff>
      <xdr:row>12</xdr:row>
      <xdr:rowOff>115141</xdr:rowOff>
    </xdr:to>
    <xdr:graphicFrame macro="">
      <xdr:nvGraphicFramePr>
        <xdr:cNvPr id="19" name="Gráfico 1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27</xdr:col>
      <xdr:colOff>448235</xdr:colOff>
      <xdr:row>13</xdr:row>
      <xdr:rowOff>33618</xdr:rowOff>
    </xdr:from>
    <xdr:to>
      <xdr:col>36</xdr:col>
      <xdr:colOff>134472</xdr:colOff>
      <xdr:row>21</xdr:row>
      <xdr:rowOff>115142</xdr:rowOff>
    </xdr:to>
    <xdr:graphicFrame macro="">
      <xdr:nvGraphicFramePr>
        <xdr:cNvPr id="20" name="Gráfico 1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45</xdr:col>
      <xdr:colOff>22412</xdr:colOff>
      <xdr:row>21</xdr:row>
      <xdr:rowOff>168088</xdr:rowOff>
    </xdr:from>
    <xdr:to>
      <xdr:col>53</xdr:col>
      <xdr:colOff>313768</xdr:colOff>
      <xdr:row>30</xdr:row>
      <xdr:rowOff>59112</xdr:rowOff>
    </xdr:to>
    <xdr:graphicFrame macro="">
      <xdr:nvGraphicFramePr>
        <xdr:cNvPr id="21" name="Gráfico 2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45</xdr:col>
      <xdr:colOff>22412</xdr:colOff>
      <xdr:row>31</xdr:row>
      <xdr:rowOff>11205</xdr:rowOff>
    </xdr:from>
    <xdr:to>
      <xdr:col>53</xdr:col>
      <xdr:colOff>313768</xdr:colOff>
      <xdr:row>39</xdr:row>
      <xdr:rowOff>92729</xdr:rowOff>
    </xdr:to>
    <xdr:graphicFrame macro="">
      <xdr:nvGraphicFramePr>
        <xdr:cNvPr id="22" name="Gráfico 2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94.xml><?xml version="1.0" encoding="utf-8"?>
<c:userShapes xmlns:c="http://schemas.openxmlformats.org/drawingml/2006/chart">
  <cdr:relSizeAnchor xmlns:cdr="http://schemas.openxmlformats.org/drawingml/2006/chartDrawing">
    <cdr:from>
      <cdr:x>0.84281</cdr:x>
      <cdr:y>0.47317</cdr:y>
    </cdr:from>
    <cdr:to>
      <cdr:x>0.97947</cdr:x>
      <cdr:y>0.60396</cdr:y>
    </cdr:to>
    <cdr:sp macro="" textlink="">
      <cdr:nvSpPr>
        <cdr:cNvPr id="2" name="CaixaDeTexto 1"/>
        <cdr:cNvSpPr txBox="1"/>
      </cdr:nvSpPr>
      <cdr:spPr>
        <a:xfrm xmlns:a="http://schemas.openxmlformats.org/drawingml/2006/main">
          <a:off x="4353858" y="756770"/>
          <a:ext cx="705971" cy="20917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pt-PT" sz="1000" baseline="0">
              <a:solidFill>
                <a:schemeClr val="bg1"/>
              </a:solidFill>
            </a:rPr>
            <a:t>Tempo activo</a:t>
          </a:r>
          <a:endParaRPr lang="pt-PT" sz="1000">
            <a:solidFill>
              <a:schemeClr val="bg1"/>
            </a:solidFill>
          </a:endParaRPr>
        </a:p>
      </cdr:txBody>
    </cdr:sp>
  </cdr:relSizeAnchor>
  <cdr:relSizeAnchor xmlns:cdr="http://schemas.openxmlformats.org/drawingml/2006/chartDrawing">
    <cdr:from>
      <cdr:x>0.64324</cdr:x>
      <cdr:y>0.34705</cdr:y>
    </cdr:from>
    <cdr:to>
      <cdr:x>0.85365</cdr:x>
      <cdr:y>0.5082</cdr:y>
    </cdr:to>
    <cdr:sp macro="" textlink="">
      <cdr:nvSpPr>
        <cdr:cNvPr id="3" name="CaixaDeTexto 1"/>
        <cdr:cNvSpPr txBox="1"/>
      </cdr:nvSpPr>
      <cdr:spPr>
        <a:xfrm xmlns:a="http://schemas.openxmlformats.org/drawingml/2006/main">
          <a:off x="3322918" y="555064"/>
          <a:ext cx="1086970" cy="25773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pt-PT" sz="1000">
              <a:solidFill>
                <a:schemeClr val="bg1"/>
              </a:solidFill>
            </a:rPr>
            <a:t>Tempo</a:t>
          </a:r>
          <a:r>
            <a:rPr lang="pt-PT" sz="1000" baseline="0">
              <a:solidFill>
                <a:schemeClr val="bg1"/>
              </a:solidFill>
            </a:rPr>
            <a:t> inactivo</a:t>
          </a:r>
        </a:p>
      </cdr:txBody>
    </cdr:sp>
  </cdr:relSizeAnchor>
</c:userShapes>
</file>

<file path=xl/drawings/drawing95.xml><?xml version="1.0" encoding="utf-8"?>
<c:userShapes xmlns:c="http://schemas.openxmlformats.org/drawingml/2006/chart">
  <cdr:relSizeAnchor xmlns:cdr="http://schemas.openxmlformats.org/drawingml/2006/chartDrawing">
    <cdr:from>
      <cdr:x>0.72606</cdr:x>
      <cdr:y>0.3527</cdr:y>
    </cdr:from>
    <cdr:to>
      <cdr:x>0.93785</cdr:x>
      <cdr:y>0.51323</cdr:y>
    </cdr:to>
    <cdr:sp macro="" textlink="">
      <cdr:nvSpPr>
        <cdr:cNvPr id="2" name="CaixaDeTexto 1"/>
        <cdr:cNvSpPr txBox="1"/>
      </cdr:nvSpPr>
      <cdr:spPr>
        <a:xfrm xmlns:a="http://schemas.openxmlformats.org/drawingml/2006/main">
          <a:off x="3726330" y="566270"/>
          <a:ext cx="1086970" cy="25773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pt-PT" sz="1000">
              <a:solidFill>
                <a:schemeClr val="bg1"/>
              </a:solidFill>
            </a:rPr>
            <a:t>Tempo</a:t>
          </a:r>
          <a:r>
            <a:rPr lang="pt-PT" sz="1000" baseline="0">
              <a:solidFill>
                <a:schemeClr val="bg1"/>
              </a:solidFill>
            </a:rPr>
            <a:t> inactivo</a:t>
          </a:r>
        </a:p>
      </cdr:txBody>
    </cdr:sp>
  </cdr:relSizeAnchor>
  <cdr:relSizeAnchor xmlns:cdr="http://schemas.openxmlformats.org/drawingml/2006/chartDrawing">
    <cdr:from>
      <cdr:x>0.86245</cdr:x>
      <cdr:y>0.47833</cdr:y>
    </cdr:from>
    <cdr:to>
      <cdr:x>1</cdr:x>
      <cdr:y>0.60862</cdr:y>
    </cdr:to>
    <cdr:sp macro="" textlink="">
      <cdr:nvSpPr>
        <cdr:cNvPr id="3" name="CaixaDeTexto 1"/>
        <cdr:cNvSpPr txBox="1"/>
      </cdr:nvSpPr>
      <cdr:spPr>
        <a:xfrm xmlns:a="http://schemas.openxmlformats.org/drawingml/2006/main">
          <a:off x="4426323" y="767976"/>
          <a:ext cx="705971" cy="20917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pt-PT" sz="1000" baseline="0">
              <a:solidFill>
                <a:schemeClr val="bg1"/>
              </a:solidFill>
            </a:rPr>
            <a:t>Tempo activo</a:t>
          </a:r>
          <a:endParaRPr lang="pt-PT" sz="1000">
            <a:solidFill>
              <a:schemeClr val="bg1"/>
            </a:solidFill>
          </a:endParaRPr>
        </a:p>
      </cdr:txBody>
    </cdr:sp>
  </cdr:relSizeAnchor>
</c:userShapes>
</file>

<file path=xl/drawings/drawing96.xml><?xml version="1.0" encoding="utf-8"?>
<c:userShapes xmlns:c="http://schemas.openxmlformats.org/drawingml/2006/chart">
  <cdr:relSizeAnchor xmlns:cdr="http://schemas.openxmlformats.org/drawingml/2006/chartDrawing">
    <cdr:from>
      <cdr:x>0.67584</cdr:x>
      <cdr:y>0.3527</cdr:y>
    </cdr:from>
    <cdr:to>
      <cdr:x>0.88763</cdr:x>
      <cdr:y>0.51323</cdr:y>
    </cdr:to>
    <cdr:sp macro="" textlink="">
      <cdr:nvSpPr>
        <cdr:cNvPr id="2" name="CaixaDeTexto 1"/>
        <cdr:cNvSpPr txBox="1"/>
      </cdr:nvSpPr>
      <cdr:spPr>
        <a:xfrm xmlns:a="http://schemas.openxmlformats.org/drawingml/2006/main">
          <a:off x="3468594" y="566271"/>
          <a:ext cx="1086970" cy="25773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pt-PT" sz="1000">
              <a:solidFill>
                <a:schemeClr val="bg1"/>
              </a:solidFill>
            </a:rPr>
            <a:t>Tempo</a:t>
          </a:r>
          <a:r>
            <a:rPr lang="pt-PT" sz="1000" baseline="0">
              <a:solidFill>
                <a:schemeClr val="bg1"/>
              </a:solidFill>
            </a:rPr>
            <a:t> inactivo</a:t>
          </a:r>
        </a:p>
      </cdr:txBody>
    </cdr:sp>
  </cdr:relSizeAnchor>
  <cdr:relSizeAnchor xmlns:cdr="http://schemas.openxmlformats.org/drawingml/2006/chartDrawing">
    <cdr:from>
      <cdr:x>0.86245</cdr:x>
      <cdr:y>0.47833</cdr:y>
    </cdr:from>
    <cdr:to>
      <cdr:x>1</cdr:x>
      <cdr:y>0.60862</cdr:y>
    </cdr:to>
    <cdr:sp macro="" textlink="">
      <cdr:nvSpPr>
        <cdr:cNvPr id="3" name="CaixaDeTexto 1"/>
        <cdr:cNvSpPr txBox="1"/>
      </cdr:nvSpPr>
      <cdr:spPr>
        <a:xfrm xmlns:a="http://schemas.openxmlformats.org/drawingml/2006/main">
          <a:off x="4426325" y="767976"/>
          <a:ext cx="705971" cy="20917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pt-PT" sz="1000" baseline="0">
              <a:solidFill>
                <a:schemeClr val="bg1"/>
              </a:solidFill>
            </a:rPr>
            <a:t>Tempo activo</a:t>
          </a:r>
          <a:endParaRPr lang="pt-PT" sz="1000">
            <a:solidFill>
              <a:schemeClr val="bg1"/>
            </a:solidFill>
          </a:endParaRPr>
        </a:p>
      </cdr:txBody>
    </cdr:sp>
  </cdr:relSizeAnchor>
</c:userShapes>
</file>

<file path=xl/drawings/drawing97.xml><?xml version="1.0" encoding="utf-8"?>
<c:userShapes xmlns:c="http://schemas.openxmlformats.org/drawingml/2006/chart">
  <cdr:relSizeAnchor xmlns:cdr="http://schemas.openxmlformats.org/drawingml/2006/chartDrawing">
    <cdr:from>
      <cdr:x>0.68239</cdr:x>
      <cdr:y>0.33874</cdr:y>
    </cdr:from>
    <cdr:to>
      <cdr:x>0.89418</cdr:x>
      <cdr:y>0.49927</cdr:y>
    </cdr:to>
    <cdr:sp macro="" textlink="">
      <cdr:nvSpPr>
        <cdr:cNvPr id="2" name="CaixaDeTexto 1"/>
        <cdr:cNvSpPr txBox="1"/>
      </cdr:nvSpPr>
      <cdr:spPr>
        <a:xfrm xmlns:a="http://schemas.openxmlformats.org/drawingml/2006/main">
          <a:off x="3502212" y="543859"/>
          <a:ext cx="1086970" cy="25773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pt-PT" sz="1000">
              <a:solidFill>
                <a:schemeClr val="bg1"/>
              </a:solidFill>
            </a:rPr>
            <a:t>Tempo</a:t>
          </a:r>
          <a:r>
            <a:rPr lang="pt-PT" sz="1000" baseline="0">
              <a:solidFill>
                <a:schemeClr val="bg1"/>
              </a:solidFill>
            </a:rPr>
            <a:t> inactivo</a:t>
          </a:r>
        </a:p>
      </cdr:txBody>
    </cdr:sp>
  </cdr:relSizeAnchor>
  <cdr:relSizeAnchor xmlns:cdr="http://schemas.openxmlformats.org/drawingml/2006/chartDrawing">
    <cdr:from>
      <cdr:x>0.86245</cdr:x>
      <cdr:y>0.47833</cdr:y>
    </cdr:from>
    <cdr:to>
      <cdr:x>1</cdr:x>
      <cdr:y>0.60862</cdr:y>
    </cdr:to>
    <cdr:sp macro="" textlink="">
      <cdr:nvSpPr>
        <cdr:cNvPr id="3" name="CaixaDeTexto 1"/>
        <cdr:cNvSpPr txBox="1"/>
      </cdr:nvSpPr>
      <cdr:spPr>
        <a:xfrm xmlns:a="http://schemas.openxmlformats.org/drawingml/2006/main">
          <a:off x="4426325" y="767977"/>
          <a:ext cx="705971" cy="20917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pt-PT" sz="1000" baseline="0">
              <a:solidFill>
                <a:schemeClr val="bg1"/>
              </a:solidFill>
            </a:rPr>
            <a:t>Tempo activo</a:t>
          </a:r>
          <a:endParaRPr lang="pt-PT" sz="1000">
            <a:solidFill>
              <a:schemeClr val="bg1"/>
            </a:solidFill>
          </a:endParaRPr>
        </a:p>
      </cdr:txBody>
    </cdr:sp>
  </cdr:relSizeAnchor>
</c:userShapes>
</file>

<file path=xl/drawings/drawing98.xml><?xml version="1.0" encoding="utf-8"?>
<c:userShapes xmlns:c="http://schemas.openxmlformats.org/drawingml/2006/chart">
  <cdr:relSizeAnchor xmlns:cdr="http://schemas.openxmlformats.org/drawingml/2006/chartDrawing">
    <cdr:from>
      <cdr:x>0.71514</cdr:x>
      <cdr:y>0.34572</cdr:y>
    </cdr:from>
    <cdr:to>
      <cdr:x>0.92693</cdr:x>
      <cdr:y>0.50625</cdr:y>
    </cdr:to>
    <cdr:sp macro="" textlink="">
      <cdr:nvSpPr>
        <cdr:cNvPr id="2" name="CaixaDeTexto 1"/>
        <cdr:cNvSpPr txBox="1"/>
      </cdr:nvSpPr>
      <cdr:spPr>
        <a:xfrm xmlns:a="http://schemas.openxmlformats.org/drawingml/2006/main">
          <a:off x="3670300" y="555065"/>
          <a:ext cx="1086970" cy="25773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pt-PT" sz="1000">
              <a:solidFill>
                <a:schemeClr val="bg1"/>
              </a:solidFill>
            </a:rPr>
            <a:t>Tempo</a:t>
          </a:r>
          <a:r>
            <a:rPr lang="pt-PT" sz="1000" baseline="0">
              <a:solidFill>
                <a:schemeClr val="bg1"/>
              </a:solidFill>
            </a:rPr>
            <a:t> inactivo</a:t>
          </a:r>
        </a:p>
      </cdr:txBody>
    </cdr:sp>
  </cdr:relSizeAnchor>
  <cdr:relSizeAnchor xmlns:cdr="http://schemas.openxmlformats.org/drawingml/2006/chartDrawing">
    <cdr:from>
      <cdr:x>0.86245</cdr:x>
      <cdr:y>0.48531</cdr:y>
    </cdr:from>
    <cdr:to>
      <cdr:x>1</cdr:x>
      <cdr:y>0.6156</cdr:y>
    </cdr:to>
    <cdr:sp macro="" textlink="">
      <cdr:nvSpPr>
        <cdr:cNvPr id="3" name="CaixaDeTexto 1"/>
        <cdr:cNvSpPr txBox="1"/>
      </cdr:nvSpPr>
      <cdr:spPr>
        <a:xfrm xmlns:a="http://schemas.openxmlformats.org/drawingml/2006/main">
          <a:off x="4426326" y="779182"/>
          <a:ext cx="705971" cy="20917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pt-PT" sz="1000" baseline="0">
              <a:solidFill>
                <a:schemeClr val="bg1"/>
              </a:solidFill>
            </a:rPr>
            <a:t>Tempo activo</a:t>
          </a:r>
          <a:endParaRPr lang="pt-PT" sz="1000">
            <a:solidFill>
              <a:schemeClr val="bg1"/>
            </a:solidFill>
          </a:endParaRPr>
        </a:p>
      </cdr:txBody>
    </cdr:sp>
  </cdr:relSizeAnchor>
</c:userShapes>
</file>

<file path=xl/drawings/drawing99.xml><?xml version="1.0" encoding="utf-8"?>
<c:userShapes xmlns:c="http://schemas.openxmlformats.org/drawingml/2006/chart">
  <cdr:relSizeAnchor xmlns:cdr="http://schemas.openxmlformats.org/drawingml/2006/chartDrawing">
    <cdr:from>
      <cdr:x>0.7195</cdr:x>
      <cdr:y>0.3527</cdr:y>
    </cdr:from>
    <cdr:to>
      <cdr:x>0.93129</cdr:x>
      <cdr:y>0.51323</cdr:y>
    </cdr:to>
    <cdr:sp macro="" textlink="">
      <cdr:nvSpPr>
        <cdr:cNvPr id="2" name="CaixaDeTexto 1"/>
        <cdr:cNvSpPr txBox="1"/>
      </cdr:nvSpPr>
      <cdr:spPr>
        <a:xfrm xmlns:a="http://schemas.openxmlformats.org/drawingml/2006/main">
          <a:off x="3692712" y="566270"/>
          <a:ext cx="1086970" cy="25773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pt-PT" sz="1000">
              <a:solidFill>
                <a:schemeClr val="bg1"/>
              </a:solidFill>
            </a:rPr>
            <a:t>Tempo</a:t>
          </a:r>
          <a:r>
            <a:rPr lang="pt-PT" sz="1000" baseline="0">
              <a:solidFill>
                <a:schemeClr val="bg1"/>
              </a:solidFill>
            </a:rPr>
            <a:t> inactivo</a:t>
          </a:r>
        </a:p>
      </cdr:txBody>
    </cdr:sp>
  </cdr:relSizeAnchor>
  <cdr:relSizeAnchor xmlns:cdr="http://schemas.openxmlformats.org/drawingml/2006/chartDrawing">
    <cdr:from>
      <cdr:x>0.86245</cdr:x>
      <cdr:y>0.47833</cdr:y>
    </cdr:from>
    <cdr:to>
      <cdr:x>1</cdr:x>
      <cdr:y>0.60862</cdr:y>
    </cdr:to>
    <cdr:sp macro="" textlink="">
      <cdr:nvSpPr>
        <cdr:cNvPr id="3" name="CaixaDeTexto 1"/>
        <cdr:cNvSpPr txBox="1"/>
      </cdr:nvSpPr>
      <cdr:spPr>
        <a:xfrm xmlns:a="http://schemas.openxmlformats.org/drawingml/2006/main">
          <a:off x="4426326" y="767976"/>
          <a:ext cx="705971" cy="20917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pt-PT" sz="1000" baseline="0">
              <a:solidFill>
                <a:schemeClr val="bg1"/>
              </a:solidFill>
            </a:rPr>
            <a:t>Tempo activo</a:t>
          </a:r>
          <a:endParaRPr lang="pt-PT" sz="1000">
            <a:solidFill>
              <a:schemeClr val="bg1"/>
            </a:solidFill>
          </a:endParaRPr>
        </a:p>
      </cdr:txBody>
    </cdr:sp>
  </cdr:relSizeAnchor>
</c:userShape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31.xml"/><Relationship Id="rId1" Type="http://schemas.openxmlformats.org/officeDocument/2006/relationships/printerSettings" Target="../printerSettings/printerSettings9.bin"/><Relationship Id="rId4" Type="http://schemas.openxmlformats.org/officeDocument/2006/relationships/comments" Target="../comments7.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32.xml"/><Relationship Id="rId1" Type="http://schemas.openxmlformats.org/officeDocument/2006/relationships/printerSettings" Target="../printerSettings/printerSettings10.bin"/><Relationship Id="rId4" Type="http://schemas.openxmlformats.org/officeDocument/2006/relationships/comments" Target="../comments8.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33.xml"/><Relationship Id="rId1" Type="http://schemas.openxmlformats.org/officeDocument/2006/relationships/printerSettings" Target="../printerSettings/printerSettings11.bin"/><Relationship Id="rId4" Type="http://schemas.openxmlformats.org/officeDocument/2006/relationships/comments" Target="../comments9.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51.xml"/><Relationship Id="rId1" Type="http://schemas.openxmlformats.org/officeDocument/2006/relationships/printerSettings" Target="../printerSettings/printerSettings13.bin"/><Relationship Id="rId4" Type="http://schemas.openxmlformats.org/officeDocument/2006/relationships/comments" Target="../comments10.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52.xml"/><Relationship Id="rId1" Type="http://schemas.openxmlformats.org/officeDocument/2006/relationships/printerSettings" Target="../printerSettings/printerSettings14.bin"/><Relationship Id="rId4" Type="http://schemas.openxmlformats.org/officeDocument/2006/relationships/comments" Target="../comments11.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53.xml"/><Relationship Id="rId1" Type="http://schemas.openxmlformats.org/officeDocument/2006/relationships/printerSettings" Target="../printerSettings/printerSettings15.bin"/><Relationship Id="rId4" Type="http://schemas.openxmlformats.org/officeDocument/2006/relationships/comments" Target="../comments12.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70.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71.xml"/><Relationship Id="rId1" Type="http://schemas.openxmlformats.org/officeDocument/2006/relationships/printerSettings" Target="../printerSettings/printerSettings16.bin"/><Relationship Id="rId4" Type="http://schemas.openxmlformats.org/officeDocument/2006/relationships/comments" Target="../comments13.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72.xml"/><Relationship Id="rId1" Type="http://schemas.openxmlformats.org/officeDocument/2006/relationships/printerSettings" Target="../printerSettings/printerSettings17.bin"/><Relationship Id="rId4" Type="http://schemas.openxmlformats.org/officeDocument/2006/relationships/comments" Target="../comments14.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73.xml"/><Relationship Id="rId1" Type="http://schemas.openxmlformats.org/officeDocument/2006/relationships/printerSettings" Target="../printerSettings/printerSettings18.bin"/><Relationship Id="rId4" Type="http://schemas.openxmlformats.org/officeDocument/2006/relationships/comments" Target="../comments15.xm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90.xml"/><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91.xml"/><Relationship Id="rId1" Type="http://schemas.openxmlformats.org/officeDocument/2006/relationships/printerSettings" Target="../printerSettings/printerSettings20.bin"/><Relationship Id="rId4" Type="http://schemas.openxmlformats.org/officeDocument/2006/relationships/comments" Target="../comments16.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92.xml"/><Relationship Id="rId1" Type="http://schemas.openxmlformats.org/officeDocument/2006/relationships/printerSettings" Target="../printerSettings/printerSettings21.bin"/><Relationship Id="rId4" Type="http://schemas.openxmlformats.org/officeDocument/2006/relationships/comments" Target="../comments17.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93.xml"/><Relationship Id="rId1" Type="http://schemas.openxmlformats.org/officeDocument/2006/relationships/printerSettings" Target="../printerSettings/printerSettings22.bin"/><Relationship Id="rId4" Type="http://schemas.openxmlformats.org/officeDocument/2006/relationships/comments" Target="../comments18.xml"/></Relationships>
</file>

<file path=xl/worksheets/_rels/sheet26.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drawing" Target="../drawings/drawing105.xml"/></Relationships>
</file>

<file path=xl/worksheets/_rels/sheet27.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drawing" Target="../drawings/drawing106.xml"/></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07.xml"/><Relationship Id="rId1" Type="http://schemas.openxmlformats.org/officeDocument/2006/relationships/printerSettings" Target="../printerSettings/printerSettings23.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111.xml"/><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112.xml"/><Relationship Id="rId1" Type="http://schemas.openxmlformats.org/officeDocument/2006/relationships/printerSettings" Target="../printerSettings/printerSettings25.bin"/><Relationship Id="rId4" Type="http://schemas.openxmlformats.org/officeDocument/2006/relationships/comments" Target="../comments21.xml"/></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113.xml"/><Relationship Id="rId1" Type="http://schemas.openxmlformats.org/officeDocument/2006/relationships/printerSettings" Target="../printerSettings/printerSettings26.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118.xml"/><Relationship Id="rId1" Type="http://schemas.openxmlformats.org/officeDocument/2006/relationships/printerSettings" Target="../printerSettings/printerSettings27.bin"/></Relationships>
</file>

<file path=xl/worksheets/_rels/sheet33.xml.rels><?xml version="1.0" encoding="UTF-8" standalone="yes"?>
<Relationships xmlns="http://schemas.openxmlformats.org/package/2006/relationships"><Relationship Id="rId3" Type="http://schemas.openxmlformats.org/officeDocument/2006/relationships/comments" Target="../comments22.xml"/><Relationship Id="rId2" Type="http://schemas.openxmlformats.org/officeDocument/2006/relationships/vmlDrawing" Target="../drawings/vmlDrawing22.vml"/><Relationship Id="rId1" Type="http://schemas.openxmlformats.org/officeDocument/2006/relationships/drawing" Target="../drawings/drawing119.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120.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123.xml"/></Relationships>
</file>

<file path=xl/worksheets/_rels/sheet36.xml.rels><?xml version="1.0" encoding="UTF-8" standalone="yes"?>
<Relationships xmlns="http://schemas.openxmlformats.org/package/2006/relationships"><Relationship Id="rId3" Type="http://schemas.openxmlformats.org/officeDocument/2006/relationships/comments" Target="../comments23.xml"/><Relationship Id="rId2" Type="http://schemas.openxmlformats.org/officeDocument/2006/relationships/vmlDrawing" Target="../drawings/vmlDrawing23.vml"/><Relationship Id="rId1" Type="http://schemas.openxmlformats.org/officeDocument/2006/relationships/drawing" Target="../drawings/drawing124.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125.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126.xml"/></Relationships>
</file>

<file path=xl/worksheets/_rels/sheet39.xml.rels><?xml version="1.0" encoding="UTF-8" standalone="yes"?>
<Relationships xmlns="http://schemas.openxmlformats.org/package/2006/relationships"><Relationship Id="rId3" Type="http://schemas.openxmlformats.org/officeDocument/2006/relationships/comments" Target="../comments24.xml"/><Relationship Id="rId2" Type="http://schemas.openxmlformats.org/officeDocument/2006/relationships/vmlDrawing" Target="../drawings/vmlDrawing24.vml"/><Relationship Id="rId1" Type="http://schemas.openxmlformats.org/officeDocument/2006/relationships/drawing" Target="../drawings/drawing127.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128.xml"/><Relationship Id="rId1" Type="http://schemas.openxmlformats.org/officeDocument/2006/relationships/printerSettings" Target="../printerSettings/printerSettings28.bin"/></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130.xml"/></Relationships>
</file>

<file path=xl/worksheets/_rels/sheet42.xml.rels><?xml version="1.0" encoding="UTF-8" standalone="yes"?>
<Relationships xmlns="http://schemas.openxmlformats.org/package/2006/relationships"><Relationship Id="rId3" Type="http://schemas.openxmlformats.org/officeDocument/2006/relationships/comments" Target="../comments25.xml"/><Relationship Id="rId2" Type="http://schemas.openxmlformats.org/officeDocument/2006/relationships/vmlDrawing" Target="../drawings/vmlDrawing25.vml"/><Relationship Id="rId1" Type="http://schemas.openxmlformats.org/officeDocument/2006/relationships/drawing" Target="../drawings/drawing131.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132.xml"/></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138.xml"/><Relationship Id="rId1" Type="http://schemas.openxmlformats.org/officeDocument/2006/relationships/printerSettings" Target="../printerSettings/printerSettings29.bin"/></Relationships>
</file>

<file path=xl/worksheets/_rels/sheet45.xml.rels><?xml version="1.0" encoding="UTF-8" standalone="yes"?>
<Relationships xmlns="http://schemas.openxmlformats.org/package/2006/relationships"><Relationship Id="rId3" Type="http://schemas.openxmlformats.org/officeDocument/2006/relationships/comments" Target="../comments26.xml"/><Relationship Id="rId2" Type="http://schemas.openxmlformats.org/officeDocument/2006/relationships/vmlDrawing" Target="../drawings/vmlDrawing26.vml"/><Relationship Id="rId1" Type="http://schemas.openxmlformats.org/officeDocument/2006/relationships/drawing" Target="../drawings/drawing139.xml"/></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140.xml"/><Relationship Id="rId1" Type="http://schemas.openxmlformats.org/officeDocument/2006/relationships/printerSettings" Target="../printerSettings/printerSettings30.bin"/></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14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7.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8.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9.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zoomScale="85" zoomScaleNormal="85" workbookViewId="0">
      <selection activeCell="U29" sqref="U29"/>
    </sheetView>
  </sheetViews>
  <sheetFormatPr defaultRowHeight="15" x14ac:dyDescent="0.25"/>
  <sheetData/>
  <sheetProtection sheet="1" objects="1" scenarios="1"/>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sheetPr>
  <dimension ref="A1:H53"/>
  <sheetViews>
    <sheetView zoomScaleNormal="100" workbookViewId="0">
      <selection activeCell="K30" sqref="K30"/>
    </sheetView>
  </sheetViews>
  <sheetFormatPr defaultRowHeight="15" x14ac:dyDescent="0.25"/>
  <cols>
    <col min="1" max="1" width="16.7109375" style="16" customWidth="1"/>
    <col min="2" max="3" width="10.42578125" style="16" bestFit="1" customWidth="1"/>
    <col min="4" max="4" width="15.42578125" style="16" bestFit="1" customWidth="1"/>
    <col min="5" max="5" width="16.7109375" style="16" bestFit="1" customWidth="1"/>
    <col min="6" max="6" width="80.7109375" style="16" customWidth="1"/>
    <col min="7" max="7" width="17.5703125" style="16" bestFit="1" customWidth="1"/>
    <col min="8" max="8" width="12.28515625" style="16" customWidth="1"/>
    <col min="9" max="16384" width="9.140625" style="16"/>
  </cols>
  <sheetData>
    <row r="1" spans="1:8" ht="21" x14ac:dyDescent="0.35">
      <c r="A1" s="15" t="s">
        <v>173</v>
      </c>
      <c r="B1" s="15"/>
    </row>
    <row r="3" spans="1:8" x14ac:dyDescent="0.25">
      <c r="A3" s="17" t="s">
        <v>175</v>
      </c>
      <c r="B3" s="17" t="s">
        <v>165</v>
      </c>
      <c r="C3" s="17" t="s">
        <v>5</v>
      </c>
      <c r="D3" s="17" t="s">
        <v>2</v>
      </c>
      <c r="E3" s="17" t="s">
        <v>0</v>
      </c>
      <c r="F3" s="17" t="s">
        <v>1</v>
      </c>
      <c r="G3" s="17" t="s">
        <v>188</v>
      </c>
      <c r="H3" s="17" t="s">
        <v>218</v>
      </c>
    </row>
    <row r="4" spans="1:8" x14ac:dyDescent="0.25">
      <c r="A4" s="16" t="s">
        <v>176</v>
      </c>
      <c r="B4" s="18">
        <v>41274</v>
      </c>
      <c r="C4" s="17"/>
      <c r="D4" s="17"/>
      <c r="E4" s="17"/>
      <c r="F4" s="17"/>
      <c r="G4" s="16" t="s">
        <v>187</v>
      </c>
    </row>
    <row r="5" spans="1:8" x14ac:dyDescent="0.25">
      <c r="B5" s="18"/>
    </row>
    <row r="6" spans="1:8" ht="30" x14ac:dyDescent="0.25">
      <c r="A6" s="29">
        <v>23</v>
      </c>
      <c r="B6" s="29">
        <f>DAYS360($B$4,C6)</f>
        <v>23</v>
      </c>
      <c r="C6" s="27">
        <v>41297</v>
      </c>
      <c r="D6" s="28" t="s">
        <v>409</v>
      </c>
      <c r="E6" s="28" t="s">
        <v>359</v>
      </c>
      <c r="F6" s="28" t="s">
        <v>39</v>
      </c>
      <c r="G6" s="16">
        <v>120</v>
      </c>
      <c r="H6" s="28" t="s">
        <v>219</v>
      </c>
    </row>
    <row r="7" spans="1:8" ht="30" x14ac:dyDescent="0.25">
      <c r="A7" s="29">
        <f>B7-B6</f>
        <v>0</v>
      </c>
      <c r="B7" s="29">
        <f t="shared" ref="B7:B48" si="0">DAYS360($B$4,C7)</f>
        <v>23</v>
      </c>
      <c r="C7" s="27">
        <v>41297</v>
      </c>
      <c r="D7" s="28" t="s">
        <v>342</v>
      </c>
      <c r="E7" s="28" t="s">
        <v>353</v>
      </c>
      <c r="F7" s="28" t="s">
        <v>40</v>
      </c>
      <c r="G7" s="16">
        <v>30</v>
      </c>
      <c r="H7" s="28" t="s">
        <v>220</v>
      </c>
    </row>
    <row r="8" spans="1:8" ht="60" x14ac:dyDescent="0.25">
      <c r="A8" s="29">
        <f t="shared" ref="A8:A48" si="1">B8-B7</f>
        <v>2</v>
      </c>
      <c r="B8" s="29">
        <f t="shared" si="0"/>
        <v>25</v>
      </c>
      <c r="C8" s="27">
        <v>41299</v>
      </c>
      <c r="D8" s="28" t="s">
        <v>342</v>
      </c>
      <c r="E8" s="28" t="s">
        <v>359</v>
      </c>
      <c r="F8" s="25" t="s">
        <v>413</v>
      </c>
      <c r="G8" s="16">
        <v>360</v>
      </c>
      <c r="H8" s="16" t="s">
        <v>220</v>
      </c>
    </row>
    <row r="9" spans="1:8" ht="45" x14ac:dyDescent="0.25">
      <c r="A9" s="29">
        <f t="shared" si="1"/>
        <v>2</v>
      </c>
      <c r="B9" s="29">
        <f t="shared" si="0"/>
        <v>27</v>
      </c>
      <c r="C9" s="27">
        <v>41301</v>
      </c>
      <c r="D9" s="28" t="s">
        <v>385</v>
      </c>
      <c r="E9" s="28" t="s">
        <v>391</v>
      </c>
      <c r="F9" s="28" t="s">
        <v>41</v>
      </c>
      <c r="G9" s="16">
        <v>60</v>
      </c>
      <c r="H9" s="28" t="s">
        <v>220</v>
      </c>
    </row>
    <row r="10" spans="1:8" ht="30" x14ac:dyDescent="0.25">
      <c r="A10" s="29">
        <f t="shared" si="1"/>
        <v>1</v>
      </c>
      <c r="B10" s="29">
        <f t="shared" si="0"/>
        <v>28</v>
      </c>
      <c r="C10" s="27">
        <v>41302</v>
      </c>
      <c r="D10" s="28" t="s">
        <v>342</v>
      </c>
      <c r="E10" s="28" t="s">
        <v>6</v>
      </c>
      <c r="F10" s="28" t="s">
        <v>42</v>
      </c>
      <c r="G10" s="16">
        <v>60</v>
      </c>
      <c r="H10" s="28" t="s">
        <v>220</v>
      </c>
    </row>
    <row r="11" spans="1:8" ht="45" x14ac:dyDescent="0.25">
      <c r="A11" s="29">
        <f t="shared" si="1"/>
        <v>1</v>
      </c>
      <c r="B11" s="29">
        <f t="shared" si="0"/>
        <v>29</v>
      </c>
      <c r="C11" s="27">
        <v>41303</v>
      </c>
      <c r="D11" s="28" t="s">
        <v>342</v>
      </c>
      <c r="E11" s="28" t="s">
        <v>6</v>
      </c>
      <c r="F11" s="25" t="s">
        <v>43</v>
      </c>
      <c r="G11" s="16">
        <v>120</v>
      </c>
      <c r="H11" s="28" t="s">
        <v>219</v>
      </c>
    </row>
    <row r="12" spans="1:8" ht="60" x14ac:dyDescent="0.25">
      <c r="A12" s="29">
        <f t="shared" si="1"/>
        <v>8</v>
      </c>
      <c r="B12" s="29">
        <f t="shared" si="0"/>
        <v>37</v>
      </c>
      <c r="C12" s="27">
        <v>41312</v>
      </c>
      <c r="D12" s="28" t="s">
        <v>342</v>
      </c>
      <c r="E12" s="28" t="s">
        <v>6</v>
      </c>
      <c r="F12" s="25" t="s">
        <v>44</v>
      </c>
      <c r="G12" s="16">
        <v>150</v>
      </c>
      <c r="H12" s="28" t="s">
        <v>219</v>
      </c>
    </row>
    <row r="13" spans="1:8" ht="60" x14ac:dyDescent="0.25">
      <c r="A13" s="29">
        <f t="shared" si="1"/>
        <v>19</v>
      </c>
      <c r="B13" s="29">
        <f t="shared" si="0"/>
        <v>56</v>
      </c>
      <c r="C13" s="27">
        <v>41331</v>
      </c>
      <c r="D13" s="28" t="s">
        <v>342</v>
      </c>
      <c r="E13" s="28" t="s">
        <v>6</v>
      </c>
      <c r="F13" s="25" t="s">
        <v>45</v>
      </c>
      <c r="G13" s="16">
        <v>30</v>
      </c>
      <c r="H13" s="28" t="s">
        <v>219</v>
      </c>
    </row>
    <row r="14" spans="1:8" ht="30" x14ac:dyDescent="0.25">
      <c r="A14" s="29">
        <f t="shared" si="1"/>
        <v>5</v>
      </c>
      <c r="B14" s="29">
        <f t="shared" si="0"/>
        <v>61</v>
      </c>
      <c r="C14" s="27">
        <v>41334</v>
      </c>
      <c r="D14" s="28" t="s">
        <v>370</v>
      </c>
      <c r="E14" s="28" t="s">
        <v>380</v>
      </c>
      <c r="F14" s="28" t="s">
        <v>46</v>
      </c>
      <c r="G14" s="16">
        <f>9*60+30</f>
        <v>570</v>
      </c>
      <c r="H14" s="28" t="s">
        <v>219</v>
      </c>
    </row>
    <row r="15" spans="1:8" ht="45" x14ac:dyDescent="0.25">
      <c r="A15" s="29">
        <f t="shared" si="1"/>
        <v>3</v>
      </c>
      <c r="B15" s="29">
        <f t="shared" si="0"/>
        <v>64</v>
      </c>
      <c r="C15" s="27">
        <v>41337</v>
      </c>
      <c r="D15" s="28" t="s">
        <v>342</v>
      </c>
      <c r="E15" s="28" t="s">
        <v>368</v>
      </c>
      <c r="F15" s="28" t="s">
        <v>47</v>
      </c>
      <c r="G15" s="16">
        <f>24*60+5*60</f>
        <v>1740</v>
      </c>
      <c r="H15" s="28" t="s">
        <v>220</v>
      </c>
    </row>
    <row r="16" spans="1:8" ht="30" x14ac:dyDescent="0.25">
      <c r="A16" s="29">
        <f t="shared" si="1"/>
        <v>5</v>
      </c>
      <c r="B16" s="29">
        <f t="shared" si="0"/>
        <v>69</v>
      </c>
      <c r="C16" s="27">
        <v>41342</v>
      </c>
      <c r="D16" s="28" t="s">
        <v>342</v>
      </c>
      <c r="E16" s="28" t="s">
        <v>6</v>
      </c>
      <c r="F16" s="28" t="s">
        <v>48</v>
      </c>
      <c r="G16" s="16">
        <v>60</v>
      </c>
      <c r="H16" s="28" t="s">
        <v>220</v>
      </c>
    </row>
    <row r="17" spans="1:8" ht="45" x14ac:dyDescent="0.25">
      <c r="A17" s="29">
        <f t="shared" si="1"/>
        <v>4</v>
      </c>
      <c r="B17" s="29">
        <f t="shared" si="0"/>
        <v>73</v>
      </c>
      <c r="C17" s="27">
        <v>41346</v>
      </c>
      <c r="D17" s="28" t="s">
        <v>385</v>
      </c>
      <c r="E17" s="28" t="s">
        <v>397</v>
      </c>
      <c r="F17" s="25" t="s">
        <v>363</v>
      </c>
      <c r="G17" s="16">
        <v>120</v>
      </c>
      <c r="H17" s="28" t="s">
        <v>220</v>
      </c>
    </row>
    <row r="18" spans="1:8" ht="45" x14ac:dyDescent="0.25">
      <c r="A18" s="29">
        <f t="shared" si="1"/>
        <v>0</v>
      </c>
      <c r="B18" s="29">
        <f t="shared" si="0"/>
        <v>73</v>
      </c>
      <c r="C18" s="27">
        <v>41346</v>
      </c>
      <c r="D18" s="28" t="s">
        <v>342</v>
      </c>
      <c r="E18" s="28" t="s">
        <v>353</v>
      </c>
      <c r="F18" s="25" t="s">
        <v>414</v>
      </c>
      <c r="G18" s="16">
        <v>120</v>
      </c>
      <c r="H18" s="28" t="s">
        <v>220</v>
      </c>
    </row>
    <row r="19" spans="1:8" ht="75" x14ac:dyDescent="0.25">
      <c r="A19" s="29">
        <f t="shared" si="1"/>
        <v>1</v>
      </c>
      <c r="B19" s="29">
        <f t="shared" si="0"/>
        <v>74</v>
      </c>
      <c r="C19" s="27">
        <v>41347</v>
      </c>
      <c r="D19" s="28" t="s">
        <v>342</v>
      </c>
      <c r="E19" s="28" t="s">
        <v>369</v>
      </c>
      <c r="F19" s="28" t="s">
        <v>49</v>
      </c>
      <c r="G19" s="16">
        <f>12*60</f>
        <v>720</v>
      </c>
      <c r="H19" s="28" t="s">
        <v>219</v>
      </c>
    </row>
    <row r="20" spans="1:8" ht="60" x14ac:dyDescent="0.25">
      <c r="A20" s="29">
        <f t="shared" si="1"/>
        <v>13</v>
      </c>
      <c r="B20" s="29">
        <f t="shared" si="0"/>
        <v>87</v>
      </c>
      <c r="C20" s="27">
        <v>41360</v>
      </c>
      <c r="D20" s="28" t="s">
        <v>342</v>
      </c>
      <c r="E20" s="28" t="s">
        <v>368</v>
      </c>
      <c r="F20" s="25" t="s">
        <v>50</v>
      </c>
      <c r="G20" s="16">
        <v>120</v>
      </c>
      <c r="H20" s="28" t="s">
        <v>219</v>
      </c>
    </row>
    <row r="21" spans="1:8" ht="45" x14ac:dyDescent="0.25">
      <c r="A21" s="29">
        <f t="shared" si="1"/>
        <v>1</v>
      </c>
      <c r="B21" s="29">
        <f t="shared" si="0"/>
        <v>88</v>
      </c>
      <c r="C21" s="27">
        <v>41361</v>
      </c>
      <c r="D21" s="28" t="s">
        <v>342</v>
      </c>
      <c r="E21" s="28" t="s">
        <v>353</v>
      </c>
      <c r="F21" s="28" t="s">
        <v>51</v>
      </c>
      <c r="G21" s="16">
        <v>60</v>
      </c>
      <c r="H21" s="28" t="s">
        <v>219</v>
      </c>
    </row>
    <row r="22" spans="1:8" ht="75" x14ac:dyDescent="0.25">
      <c r="A22" s="29">
        <f t="shared" si="1"/>
        <v>3</v>
      </c>
      <c r="B22" s="29">
        <f t="shared" si="0"/>
        <v>91</v>
      </c>
      <c r="C22" s="27">
        <v>41365</v>
      </c>
      <c r="D22" s="28" t="s">
        <v>342</v>
      </c>
      <c r="E22" s="28" t="s">
        <v>353</v>
      </c>
      <c r="F22" s="28" t="s">
        <v>52</v>
      </c>
      <c r="G22" s="16">
        <v>60</v>
      </c>
      <c r="H22" s="28" t="s">
        <v>219</v>
      </c>
    </row>
    <row r="23" spans="1:8" ht="30" x14ac:dyDescent="0.25">
      <c r="A23" s="29">
        <f t="shared" si="1"/>
        <v>16</v>
      </c>
      <c r="B23" s="29">
        <f t="shared" si="0"/>
        <v>107</v>
      </c>
      <c r="C23" s="27">
        <v>41381</v>
      </c>
      <c r="D23" s="28" t="s">
        <v>370</v>
      </c>
      <c r="E23" s="28" t="s">
        <v>384</v>
      </c>
      <c r="F23" s="28" t="s">
        <v>53</v>
      </c>
      <c r="G23" s="16">
        <v>360</v>
      </c>
      <c r="H23" s="28" t="s">
        <v>220</v>
      </c>
    </row>
    <row r="24" spans="1:8" ht="45" x14ac:dyDescent="0.25">
      <c r="A24" s="29">
        <f t="shared" si="1"/>
        <v>29</v>
      </c>
      <c r="B24" s="29">
        <f t="shared" si="0"/>
        <v>136</v>
      </c>
      <c r="C24" s="27">
        <v>41410</v>
      </c>
      <c r="D24" s="28" t="s">
        <v>333</v>
      </c>
      <c r="E24" s="28" t="s">
        <v>353</v>
      </c>
      <c r="F24" s="28" t="s">
        <v>54</v>
      </c>
      <c r="G24" s="16">
        <v>120</v>
      </c>
      <c r="H24" s="28" t="s">
        <v>219</v>
      </c>
    </row>
    <row r="25" spans="1:8" ht="30" x14ac:dyDescent="0.25">
      <c r="A25" s="29">
        <f t="shared" si="1"/>
        <v>1</v>
      </c>
      <c r="B25" s="29">
        <f t="shared" si="0"/>
        <v>137</v>
      </c>
      <c r="C25" s="27">
        <v>41411</v>
      </c>
      <c r="D25" s="28" t="s">
        <v>385</v>
      </c>
      <c r="E25" s="28" t="s">
        <v>397</v>
      </c>
      <c r="F25" s="28" t="s">
        <v>55</v>
      </c>
      <c r="G25" s="16">
        <f>26*60</f>
        <v>1560</v>
      </c>
      <c r="H25" s="28" t="s">
        <v>219</v>
      </c>
    </row>
    <row r="26" spans="1:8" ht="45" x14ac:dyDescent="0.25">
      <c r="A26" s="29">
        <f t="shared" si="1"/>
        <v>11</v>
      </c>
      <c r="B26" s="29">
        <f t="shared" si="0"/>
        <v>148</v>
      </c>
      <c r="C26" s="27">
        <v>41422</v>
      </c>
      <c r="D26" s="28" t="s">
        <v>333</v>
      </c>
      <c r="E26" s="28" t="s">
        <v>6</v>
      </c>
      <c r="F26" s="28" t="s">
        <v>56</v>
      </c>
      <c r="G26" s="16">
        <v>180</v>
      </c>
      <c r="H26" s="28" t="s">
        <v>219</v>
      </c>
    </row>
    <row r="27" spans="1:8" x14ac:dyDescent="0.25">
      <c r="A27" s="67">
        <f t="shared" si="1"/>
        <v>8</v>
      </c>
      <c r="B27" s="67">
        <f t="shared" si="0"/>
        <v>156</v>
      </c>
      <c r="C27" s="68">
        <v>41431</v>
      </c>
      <c r="D27" s="69" t="s">
        <v>342</v>
      </c>
      <c r="E27" s="69" t="s">
        <v>6</v>
      </c>
      <c r="F27" s="69" t="s">
        <v>57</v>
      </c>
      <c r="G27" s="70">
        <f>24*60</f>
        <v>1440</v>
      </c>
      <c r="H27" s="69" t="s">
        <v>219</v>
      </c>
    </row>
    <row r="28" spans="1:8" x14ac:dyDescent="0.25">
      <c r="A28" s="67">
        <f t="shared" si="1"/>
        <v>1</v>
      </c>
      <c r="B28" s="67">
        <f t="shared" si="0"/>
        <v>157</v>
      </c>
      <c r="C28" s="68">
        <v>41432</v>
      </c>
      <c r="D28" s="69" t="s">
        <v>342</v>
      </c>
      <c r="E28" s="69" t="s">
        <v>6</v>
      </c>
      <c r="F28" s="69" t="s">
        <v>58</v>
      </c>
      <c r="G28" s="70">
        <f>24*60</f>
        <v>1440</v>
      </c>
      <c r="H28" s="69" t="s">
        <v>219</v>
      </c>
    </row>
    <row r="29" spans="1:8" ht="30" x14ac:dyDescent="0.25">
      <c r="A29" s="29">
        <f t="shared" si="1"/>
        <v>0</v>
      </c>
      <c r="B29" s="29">
        <f t="shared" si="0"/>
        <v>157</v>
      </c>
      <c r="C29" s="27">
        <v>41432</v>
      </c>
      <c r="D29" s="28" t="s">
        <v>370</v>
      </c>
      <c r="E29" s="28" t="s">
        <v>378</v>
      </c>
      <c r="F29" s="28" t="s">
        <v>59</v>
      </c>
      <c r="G29" s="16">
        <v>630</v>
      </c>
      <c r="H29" s="28" t="s">
        <v>219</v>
      </c>
    </row>
    <row r="30" spans="1:8" ht="45" x14ac:dyDescent="0.25">
      <c r="A30" s="67">
        <f t="shared" si="1"/>
        <v>5</v>
      </c>
      <c r="B30" s="67">
        <f t="shared" si="0"/>
        <v>162</v>
      </c>
      <c r="C30" s="68">
        <v>41437</v>
      </c>
      <c r="D30" s="69" t="s">
        <v>342</v>
      </c>
      <c r="E30" s="69" t="s">
        <v>6</v>
      </c>
      <c r="F30" s="69" t="s">
        <v>343</v>
      </c>
      <c r="G30" s="70">
        <v>1440</v>
      </c>
      <c r="H30" s="69" t="s">
        <v>219</v>
      </c>
    </row>
    <row r="31" spans="1:8" x14ac:dyDescent="0.25">
      <c r="A31" s="67">
        <f t="shared" si="1"/>
        <v>1</v>
      </c>
      <c r="B31" s="67">
        <f t="shared" si="0"/>
        <v>163</v>
      </c>
      <c r="C31" s="68">
        <v>41438</v>
      </c>
      <c r="D31" s="69" t="s">
        <v>342</v>
      </c>
      <c r="E31" s="69" t="s">
        <v>6</v>
      </c>
      <c r="F31" s="69" t="s">
        <v>60</v>
      </c>
      <c r="G31" s="70">
        <v>180</v>
      </c>
      <c r="H31" s="69" t="s">
        <v>219</v>
      </c>
    </row>
    <row r="32" spans="1:8" ht="45" x14ac:dyDescent="0.25">
      <c r="A32" s="67">
        <f t="shared" si="1"/>
        <v>7</v>
      </c>
      <c r="B32" s="67">
        <f t="shared" si="0"/>
        <v>170</v>
      </c>
      <c r="C32" s="68">
        <v>41445</v>
      </c>
      <c r="D32" s="69" t="s">
        <v>342</v>
      </c>
      <c r="E32" s="69" t="s">
        <v>6</v>
      </c>
      <c r="F32" s="69" t="s">
        <v>61</v>
      </c>
      <c r="G32" s="70">
        <v>1440</v>
      </c>
      <c r="H32" s="69" t="s">
        <v>220</v>
      </c>
    </row>
    <row r="33" spans="1:8" ht="30" x14ac:dyDescent="0.25">
      <c r="A33" s="67">
        <f t="shared" si="1"/>
        <v>5</v>
      </c>
      <c r="B33" s="67">
        <f t="shared" si="0"/>
        <v>175</v>
      </c>
      <c r="C33" s="68">
        <v>41450</v>
      </c>
      <c r="D33" s="69" t="s">
        <v>342</v>
      </c>
      <c r="E33" s="69" t="s">
        <v>6</v>
      </c>
      <c r="F33" s="69" t="s">
        <v>62</v>
      </c>
      <c r="G33" s="70">
        <v>1440</v>
      </c>
      <c r="H33" s="69" t="s">
        <v>219</v>
      </c>
    </row>
    <row r="34" spans="1:8" x14ac:dyDescent="0.25">
      <c r="A34" s="29">
        <f t="shared" si="1"/>
        <v>16</v>
      </c>
      <c r="B34" s="29">
        <f t="shared" si="0"/>
        <v>191</v>
      </c>
      <c r="C34" s="27">
        <v>41466</v>
      </c>
      <c r="D34" s="28" t="s">
        <v>342</v>
      </c>
      <c r="E34" s="28" t="s">
        <v>6</v>
      </c>
      <c r="F34" s="28" t="s">
        <v>63</v>
      </c>
      <c r="G34" s="16">
        <v>120</v>
      </c>
      <c r="H34" s="28" t="s">
        <v>220</v>
      </c>
    </row>
    <row r="35" spans="1:8" ht="45" x14ac:dyDescent="0.25">
      <c r="A35" s="29">
        <f t="shared" si="1"/>
        <v>4</v>
      </c>
      <c r="B35" s="29">
        <f t="shared" si="0"/>
        <v>195</v>
      </c>
      <c r="C35" s="27">
        <v>41470</v>
      </c>
      <c r="D35" s="28" t="s">
        <v>342</v>
      </c>
      <c r="E35" s="28" t="s">
        <v>6</v>
      </c>
      <c r="F35" s="28" t="s">
        <v>64</v>
      </c>
      <c r="G35" s="16">
        <v>120</v>
      </c>
      <c r="H35" s="28" t="s">
        <v>219</v>
      </c>
    </row>
    <row r="36" spans="1:8" ht="30" x14ac:dyDescent="0.25">
      <c r="A36" s="29">
        <f t="shared" si="1"/>
        <v>15</v>
      </c>
      <c r="B36" s="29">
        <f t="shared" si="0"/>
        <v>210</v>
      </c>
      <c r="C36" s="27">
        <v>41485</v>
      </c>
      <c r="D36" s="28" t="s">
        <v>342</v>
      </c>
      <c r="E36" s="28" t="s">
        <v>368</v>
      </c>
      <c r="F36" s="28" t="s">
        <v>65</v>
      </c>
      <c r="G36" s="16">
        <v>180</v>
      </c>
      <c r="H36" s="28" t="s">
        <v>219</v>
      </c>
    </row>
    <row r="37" spans="1:8" ht="45" x14ac:dyDescent="0.25">
      <c r="A37" s="29">
        <f t="shared" si="1"/>
        <v>11</v>
      </c>
      <c r="B37" s="29">
        <f t="shared" si="0"/>
        <v>221</v>
      </c>
      <c r="C37" s="27">
        <v>41497</v>
      </c>
      <c r="D37" s="28" t="s">
        <v>409</v>
      </c>
      <c r="E37" s="28" t="s">
        <v>6</v>
      </c>
      <c r="F37" s="25" t="s">
        <v>66</v>
      </c>
      <c r="G37" s="16">
        <f>7*24*60</f>
        <v>10080</v>
      </c>
      <c r="H37" s="28" t="s">
        <v>219</v>
      </c>
    </row>
    <row r="38" spans="1:8" ht="45" x14ac:dyDescent="0.25">
      <c r="A38" s="29">
        <f t="shared" si="1"/>
        <v>15</v>
      </c>
      <c r="B38" s="29">
        <f t="shared" si="0"/>
        <v>236</v>
      </c>
      <c r="C38" s="27">
        <v>41512</v>
      </c>
      <c r="D38" s="28" t="s">
        <v>342</v>
      </c>
      <c r="E38" s="28" t="s">
        <v>353</v>
      </c>
      <c r="F38" s="25" t="s">
        <v>67</v>
      </c>
      <c r="G38" s="16">
        <v>120</v>
      </c>
      <c r="H38" s="28" t="s">
        <v>220</v>
      </c>
    </row>
    <row r="39" spans="1:8" ht="45" x14ac:dyDescent="0.25">
      <c r="A39" s="29">
        <f t="shared" si="1"/>
        <v>30</v>
      </c>
      <c r="B39" s="29">
        <f t="shared" si="0"/>
        <v>266</v>
      </c>
      <c r="C39" s="27">
        <v>41543</v>
      </c>
      <c r="D39" s="28" t="s">
        <v>385</v>
      </c>
      <c r="E39" s="28" t="s">
        <v>394</v>
      </c>
      <c r="F39" s="25" t="s">
        <v>68</v>
      </c>
      <c r="G39" s="16">
        <v>30</v>
      </c>
      <c r="H39" s="28" t="s">
        <v>219</v>
      </c>
    </row>
    <row r="40" spans="1:8" ht="60" x14ac:dyDescent="0.25">
      <c r="A40" s="29">
        <f t="shared" si="1"/>
        <v>11</v>
      </c>
      <c r="B40" s="29">
        <f t="shared" si="0"/>
        <v>277</v>
      </c>
      <c r="C40" s="27">
        <v>41554</v>
      </c>
      <c r="D40" s="28" t="s">
        <v>385</v>
      </c>
      <c r="E40" s="28" t="s">
        <v>397</v>
      </c>
      <c r="F40" s="25" t="s">
        <v>364</v>
      </c>
      <c r="G40" s="16">
        <v>60</v>
      </c>
      <c r="H40" s="28" t="s">
        <v>220</v>
      </c>
    </row>
    <row r="41" spans="1:8" ht="60" x14ac:dyDescent="0.25">
      <c r="A41" s="29">
        <f t="shared" si="1"/>
        <v>7</v>
      </c>
      <c r="B41" s="29">
        <f t="shared" si="0"/>
        <v>284</v>
      </c>
      <c r="C41" s="27">
        <v>41561</v>
      </c>
      <c r="D41" s="28" t="s">
        <v>342</v>
      </c>
      <c r="E41" s="28" t="s">
        <v>353</v>
      </c>
      <c r="F41" s="25" t="s">
        <v>69</v>
      </c>
      <c r="G41" s="16">
        <v>60</v>
      </c>
      <c r="H41" s="28" t="s">
        <v>219</v>
      </c>
    </row>
    <row r="42" spans="1:8" ht="30" x14ac:dyDescent="0.25">
      <c r="A42" s="29">
        <f t="shared" si="1"/>
        <v>5</v>
      </c>
      <c r="B42" s="29">
        <f>DAYS360($B$4,C42)</f>
        <v>289</v>
      </c>
      <c r="C42" s="27">
        <v>41566</v>
      </c>
      <c r="D42" s="28" t="s">
        <v>342</v>
      </c>
      <c r="E42" s="28" t="s">
        <v>353</v>
      </c>
      <c r="F42" s="25" t="s">
        <v>70</v>
      </c>
      <c r="G42" s="16">
        <v>150</v>
      </c>
      <c r="H42" s="28" t="s">
        <v>220</v>
      </c>
    </row>
    <row r="43" spans="1:8" ht="30" x14ac:dyDescent="0.25">
      <c r="A43" s="29">
        <f t="shared" si="1"/>
        <v>1</v>
      </c>
      <c r="B43" s="29">
        <f t="shared" si="0"/>
        <v>290</v>
      </c>
      <c r="C43" s="27">
        <v>41567</v>
      </c>
      <c r="D43" s="28" t="s">
        <v>342</v>
      </c>
      <c r="E43" s="28" t="s">
        <v>353</v>
      </c>
      <c r="F43" s="25" t="s">
        <v>71</v>
      </c>
      <c r="G43" s="16">
        <v>120</v>
      </c>
      <c r="H43" s="28" t="s">
        <v>219</v>
      </c>
    </row>
    <row r="44" spans="1:8" ht="45" x14ac:dyDescent="0.25">
      <c r="A44" s="29">
        <f t="shared" si="1"/>
        <v>21</v>
      </c>
      <c r="B44" s="29">
        <f t="shared" si="0"/>
        <v>311</v>
      </c>
      <c r="C44" s="27">
        <v>41589</v>
      </c>
      <c r="D44" s="28" t="s">
        <v>342</v>
      </c>
      <c r="E44" s="28" t="s">
        <v>72</v>
      </c>
      <c r="F44" s="28" t="s">
        <v>73</v>
      </c>
      <c r="G44" s="16">
        <v>240</v>
      </c>
      <c r="H44" s="28" t="s">
        <v>220</v>
      </c>
    </row>
    <row r="45" spans="1:8" ht="30" x14ac:dyDescent="0.25">
      <c r="A45" s="29">
        <f t="shared" si="1"/>
        <v>9</v>
      </c>
      <c r="B45" s="29">
        <f t="shared" si="0"/>
        <v>320</v>
      </c>
      <c r="C45" s="27">
        <v>41598</v>
      </c>
      <c r="D45" s="28" t="s">
        <v>342</v>
      </c>
      <c r="E45" s="28" t="s">
        <v>6</v>
      </c>
      <c r="F45" s="25" t="s">
        <v>74</v>
      </c>
      <c r="G45" s="16">
        <v>90</v>
      </c>
      <c r="H45" s="28" t="s">
        <v>220</v>
      </c>
    </row>
    <row r="46" spans="1:8" x14ac:dyDescent="0.25">
      <c r="A46" s="29">
        <f t="shared" si="1"/>
        <v>5</v>
      </c>
      <c r="B46" s="29">
        <f t="shared" si="0"/>
        <v>325</v>
      </c>
      <c r="C46" s="27">
        <v>41603</v>
      </c>
      <c r="D46" s="28" t="s">
        <v>342</v>
      </c>
      <c r="E46" s="28" t="s">
        <v>72</v>
      </c>
      <c r="F46" s="28" t="s">
        <v>75</v>
      </c>
      <c r="G46" s="16">
        <f>8*60</f>
        <v>480</v>
      </c>
      <c r="H46" s="28" t="s">
        <v>219</v>
      </c>
    </row>
    <row r="47" spans="1:8" ht="30" x14ac:dyDescent="0.25">
      <c r="A47" s="29">
        <f t="shared" si="1"/>
        <v>14</v>
      </c>
      <c r="B47" s="29">
        <f t="shared" si="0"/>
        <v>339</v>
      </c>
      <c r="C47" s="27">
        <v>41617</v>
      </c>
      <c r="D47" s="28" t="s">
        <v>342</v>
      </c>
      <c r="E47" s="28" t="s">
        <v>353</v>
      </c>
      <c r="F47" s="28" t="s">
        <v>76</v>
      </c>
      <c r="G47" s="16">
        <v>30</v>
      </c>
      <c r="H47" s="28" t="s">
        <v>220</v>
      </c>
    </row>
    <row r="48" spans="1:8" ht="30" x14ac:dyDescent="0.25">
      <c r="A48" s="29">
        <f t="shared" si="1"/>
        <v>0</v>
      </c>
      <c r="B48" s="29">
        <f t="shared" si="0"/>
        <v>339</v>
      </c>
      <c r="C48" s="27">
        <v>41617</v>
      </c>
      <c r="D48" s="28" t="s">
        <v>370</v>
      </c>
      <c r="E48" s="28" t="s">
        <v>384</v>
      </c>
      <c r="F48" s="28" t="s">
        <v>77</v>
      </c>
      <c r="G48" s="16">
        <f>11*60</f>
        <v>660</v>
      </c>
      <c r="H48" s="28" t="s">
        <v>219</v>
      </c>
    </row>
    <row r="49" spans="1:2" x14ac:dyDescent="0.25">
      <c r="A49" s="20"/>
      <c r="B49" s="20"/>
    </row>
    <row r="50" spans="1:2" x14ac:dyDescent="0.25">
      <c r="A50" s="21" t="s">
        <v>183</v>
      </c>
      <c r="B50" s="20"/>
    </row>
    <row r="51" spans="1:2" x14ac:dyDescent="0.25">
      <c r="A51" s="16" t="s">
        <v>217</v>
      </c>
      <c r="B51" s="20"/>
    </row>
    <row r="52" spans="1:2" x14ac:dyDescent="0.25">
      <c r="B52" s="20"/>
    </row>
    <row r="53" spans="1:2" x14ac:dyDescent="0.25">
      <c r="B53" s="20"/>
    </row>
  </sheetData>
  <sheetProtection sheet="1" objects="1" scenarios="1"/>
  <pageMargins left="0.7" right="0.7" top="0.75" bottom="0.75" header="0.3" footer="0.3"/>
  <pageSetup paperSize="9" orientation="portrait" horizontalDpi="300" r:id="rId1"/>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sheetPr>
  <dimension ref="B2:I45"/>
  <sheetViews>
    <sheetView topLeftCell="A6" zoomScaleNormal="100" workbookViewId="0">
      <selection activeCell="P31" sqref="P31"/>
    </sheetView>
  </sheetViews>
  <sheetFormatPr defaultRowHeight="15" x14ac:dyDescent="0.25"/>
  <cols>
    <col min="1" max="1" width="3" customWidth="1"/>
    <col min="2" max="2" width="10.42578125" bestFit="1" customWidth="1"/>
    <col min="3" max="3" width="12" bestFit="1" customWidth="1"/>
    <col min="4" max="4" width="10.42578125" bestFit="1" customWidth="1"/>
    <col min="5" max="5" width="9.140625" customWidth="1"/>
    <col min="6" max="6" width="10.42578125" bestFit="1" customWidth="1"/>
    <col min="7" max="7" width="12" bestFit="1" customWidth="1"/>
    <col min="8" max="8" width="10.42578125" bestFit="1" customWidth="1"/>
    <col min="9" max="9" width="20" bestFit="1" customWidth="1"/>
  </cols>
  <sheetData>
    <row r="2" spans="2:9" x14ac:dyDescent="0.25">
      <c r="B2" s="123" t="s">
        <v>179</v>
      </c>
      <c r="C2" s="123"/>
      <c r="D2" s="123"/>
      <c r="F2" s="123" t="s">
        <v>180</v>
      </c>
      <c r="G2" s="123"/>
      <c r="H2" s="123"/>
      <c r="I2" s="123"/>
    </row>
    <row r="3" spans="2:9" x14ac:dyDescent="0.25">
      <c r="B3" s="123"/>
      <c r="C3" s="123"/>
      <c r="D3" s="123"/>
      <c r="F3" s="123"/>
      <c r="G3" s="123"/>
      <c r="H3" s="123"/>
      <c r="I3" s="123"/>
    </row>
    <row r="4" spans="2:9" x14ac:dyDescent="0.25">
      <c r="B4" s="7" t="s">
        <v>165</v>
      </c>
      <c r="C4" s="7" t="s">
        <v>168</v>
      </c>
      <c r="D4" s="7" t="s">
        <v>5</v>
      </c>
      <c r="E4" s="2"/>
      <c r="F4" s="7" t="s">
        <v>165</v>
      </c>
      <c r="G4" s="7" t="s">
        <v>168</v>
      </c>
      <c r="H4" s="7" t="s">
        <v>5</v>
      </c>
      <c r="I4" s="7" t="s">
        <v>2</v>
      </c>
    </row>
    <row r="5" spans="2:9" x14ac:dyDescent="0.25">
      <c r="B5" s="8">
        <v>41274</v>
      </c>
      <c r="C5" s="8"/>
      <c r="D5" s="9"/>
      <c r="F5" s="8">
        <f>B5</f>
        <v>41274</v>
      </c>
      <c r="G5" s="8"/>
      <c r="H5" s="9"/>
      <c r="I5" s="9"/>
    </row>
    <row r="6" spans="2:9" x14ac:dyDescent="0.25">
      <c r="B6" s="6">
        <f>DAYS360($B$5,D6)</f>
        <v>23</v>
      </c>
      <c r="C6" s="10">
        <v>2</v>
      </c>
      <c r="D6" s="5">
        <v>41297</v>
      </c>
      <c r="F6" s="6">
        <f t="shared" ref="F6:F22" si="0">DAYS360($B$5,H6)</f>
        <v>23</v>
      </c>
      <c r="G6" s="10">
        <v>1</v>
      </c>
      <c r="H6" s="5">
        <v>41297</v>
      </c>
      <c r="I6" s="6" t="s">
        <v>409</v>
      </c>
    </row>
    <row r="7" spans="2:9" x14ac:dyDescent="0.25">
      <c r="B7" s="6">
        <f t="shared" ref="B7:B24" si="1">DAYS360($B$5,D7)</f>
        <v>25</v>
      </c>
      <c r="C7" s="10">
        <v>1</v>
      </c>
      <c r="D7" s="5">
        <v>41299</v>
      </c>
      <c r="F7" s="6">
        <f t="shared" si="0"/>
        <v>221</v>
      </c>
      <c r="G7" s="10">
        <v>1</v>
      </c>
      <c r="H7" s="5">
        <v>41497</v>
      </c>
      <c r="I7" s="6" t="s">
        <v>409</v>
      </c>
    </row>
    <row r="8" spans="2:9" x14ac:dyDescent="0.25">
      <c r="B8" s="6">
        <f t="shared" si="1"/>
        <v>27</v>
      </c>
      <c r="C8" s="10">
        <v>1</v>
      </c>
      <c r="D8" s="5">
        <v>41301</v>
      </c>
      <c r="F8" s="6">
        <f t="shared" si="0"/>
        <v>136</v>
      </c>
      <c r="G8" s="10">
        <v>1</v>
      </c>
      <c r="H8" s="5">
        <v>41410</v>
      </c>
      <c r="I8" s="6" t="s">
        <v>333</v>
      </c>
    </row>
    <row r="9" spans="2:9" x14ac:dyDescent="0.25">
      <c r="B9" s="6">
        <f t="shared" si="1"/>
        <v>28</v>
      </c>
      <c r="C9" s="10">
        <v>1</v>
      </c>
      <c r="D9" s="5">
        <v>41302</v>
      </c>
      <c r="F9" s="6">
        <f t="shared" si="0"/>
        <v>148</v>
      </c>
      <c r="G9" s="10">
        <v>1</v>
      </c>
      <c r="H9" s="5">
        <v>41422</v>
      </c>
      <c r="I9" s="6" t="s">
        <v>333</v>
      </c>
    </row>
    <row r="10" spans="2:9" x14ac:dyDescent="0.25">
      <c r="B10" s="6">
        <f t="shared" si="1"/>
        <v>29</v>
      </c>
      <c r="C10" s="10">
        <v>1</v>
      </c>
      <c r="D10" s="5">
        <v>41303</v>
      </c>
      <c r="F10" s="6">
        <f t="shared" si="0"/>
        <v>23</v>
      </c>
      <c r="G10" s="10">
        <v>1</v>
      </c>
      <c r="H10" s="5">
        <v>41297</v>
      </c>
      <c r="I10" s="6" t="s">
        <v>342</v>
      </c>
    </row>
    <row r="11" spans="2:9" x14ac:dyDescent="0.25">
      <c r="B11" s="6">
        <f t="shared" si="1"/>
        <v>37</v>
      </c>
      <c r="C11" s="10">
        <v>1</v>
      </c>
      <c r="D11" s="5">
        <v>41312</v>
      </c>
      <c r="F11" s="6">
        <f t="shared" si="0"/>
        <v>25</v>
      </c>
      <c r="G11" s="10">
        <v>1</v>
      </c>
      <c r="H11" s="5">
        <v>41299</v>
      </c>
      <c r="I11" s="6" t="s">
        <v>342</v>
      </c>
    </row>
    <row r="12" spans="2:9" x14ac:dyDescent="0.25">
      <c r="B12" s="6">
        <f t="shared" si="1"/>
        <v>56</v>
      </c>
      <c r="C12" s="10">
        <v>1</v>
      </c>
      <c r="D12" s="5">
        <v>41331</v>
      </c>
      <c r="F12" s="6">
        <f t="shared" si="0"/>
        <v>28</v>
      </c>
      <c r="G12" s="10">
        <v>1</v>
      </c>
      <c r="H12" s="5">
        <v>41302</v>
      </c>
      <c r="I12" s="6" t="s">
        <v>342</v>
      </c>
    </row>
    <row r="13" spans="2:9" x14ac:dyDescent="0.25">
      <c r="B13" s="6">
        <f t="shared" si="1"/>
        <v>61</v>
      </c>
      <c r="C13" s="10">
        <v>1</v>
      </c>
      <c r="D13" s="5">
        <v>41334</v>
      </c>
      <c r="F13" s="6">
        <f t="shared" si="0"/>
        <v>29</v>
      </c>
      <c r="G13" s="10">
        <v>1</v>
      </c>
      <c r="H13" s="5">
        <v>41303</v>
      </c>
      <c r="I13" s="6" t="s">
        <v>342</v>
      </c>
    </row>
    <row r="14" spans="2:9" x14ac:dyDescent="0.25">
      <c r="B14" s="6">
        <f t="shared" si="1"/>
        <v>64</v>
      </c>
      <c r="C14" s="10">
        <v>1</v>
      </c>
      <c r="D14" s="5">
        <v>41337</v>
      </c>
      <c r="F14" s="6">
        <f t="shared" si="0"/>
        <v>37</v>
      </c>
      <c r="G14" s="10">
        <v>1</v>
      </c>
      <c r="H14" s="5">
        <v>41312</v>
      </c>
      <c r="I14" s="6" t="s">
        <v>342</v>
      </c>
    </row>
    <row r="15" spans="2:9" x14ac:dyDescent="0.25">
      <c r="B15" s="6">
        <f t="shared" si="1"/>
        <v>69</v>
      </c>
      <c r="C15" s="10">
        <v>1</v>
      </c>
      <c r="D15" s="5">
        <v>41342</v>
      </c>
      <c r="F15" s="6">
        <f t="shared" si="0"/>
        <v>56</v>
      </c>
      <c r="G15" s="10">
        <v>1</v>
      </c>
      <c r="H15" s="5">
        <v>41331</v>
      </c>
      <c r="I15" s="6" t="s">
        <v>342</v>
      </c>
    </row>
    <row r="16" spans="2:9" x14ac:dyDescent="0.25">
      <c r="B16" s="6">
        <f t="shared" si="1"/>
        <v>73</v>
      </c>
      <c r="C16" s="10">
        <v>2</v>
      </c>
      <c r="D16" s="5">
        <v>41346</v>
      </c>
      <c r="F16" s="6">
        <f t="shared" si="0"/>
        <v>64</v>
      </c>
      <c r="G16" s="10">
        <v>1</v>
      </c>
      <c r="H16" s="5">
        <v>41337</v>
      </c>
      <c r="I16" s="6" t="s">
        <v>342</v>
      </c>
    </row>
    <row r="17" spans="2:9" x14ac:dyDescent="0.25">
      <c r="B17" s="6">
        <f t="shared" si="1"/>
        <v>74</v>
      </c>
      <c r="C17" s="10">
        <v>1</v>
      </c>
      <c r="D17" s="5">
        <v>41347</v>
      </c>
      <c r="F17" s="6">
        <f t="shared" si="0"/>
        <v>69</v>
      </c>
      <c r="G17" s="10">
        <v>1</v>
      </c>
      <c r="H17" s="5">
        <v>41342</v>
      </c>
      <c r="I17" s="6" t="s">
        <v>342</v>
      </c>
    </row>
    <row r="18" spans="2:9" x14ac:dyDescent="0.25">
      <c r="B18" s="6">
        <f t="shared" si="1"/>
        <v>87</v>
      </c>
      <c r="C18" s="10">
        <v>1</v>
      </c>
      <c r="D18" s="5">
        <v>41360</v>
      </c>
      <c r="F18" s="6">
        <f t="shared" si="0"/>
        <v>73</v>
      </c>
      <c r="G18" s="10">
        <v>1</v>
      </c>
      <c r="H18" s="5">
        <v>41346</v>
      </c>
      <c r="I18" s="6" t="s">
        <v>342</v>
      </c>
    </row>
    <row r="19" spans="2:9" x14ac:dyDescent="0.25">
      <c r="B19" s="6">
        <f t="shared" si="1"/>
        <v>88</v>
      </c>
      <c r="C19" s="10">
        <v>1</v>
      </c>
      <c r="D19" s="5">
        <v>41361</v>
      </c>
      <c r="F19" s="6">
        <f t="shared" si="0"/>
        <v>74</v>
      </c>
      <c r="G19" s="10">
        <v>1</v>
      </c>
      <c r="H19" s="5">
        <v>41347</v>
      </c>
      <c r="I19" s="6" t="s">
        <v>342</v>
      </c>
    </row>
    <row r="20" spans="2:9" x14ac:dyDescent="0.25">
      <c r="B20" s="6">
        <f t="shared" si="1"/>
        <v>91</v>
      </c>
      <c r="C20" s="10">
        <v>1</v>
      </c>
      <c r="D20" s="5">
        <v>41365</v>
      </c>
      <c r="F20" s="6">
        <f t="shared" si="0"/>
        <v>87</v>
      </c>
      <c r="G20" s="10">
        <v>1</v>
      </c>
      <c r="H20" s="5">
        <v>41360</v>
      </c>
      <c r="I20" s="6" t="s">
        <v>342</v>
      </c>
    </row>
    <row r="21" spans="2:9" x14ac:dyDescent="0.25">
      <c r="B21" s="6">
        <f t="shared" si="1"/>
        <v>107</v>
      </c>
      <c r="C21" s="10">
        <v>1</v>
      </c>
      <c r="D21" s="5">
        <v>41381</v>
      </c>
      <c r="F21" s="6">
        <f t="shared" si="0"/>
        <v>88</v>
      </c>
      <c r="G21" s="10">
        <v>1</v>
      </c>
      <c r="H21" s="5">
        <v>41361</v>
      </c>
      <c r="I21" s="6" t="s">
        <v>342</v>
      </c>
    </row>
    <row r="22" spans="2:9" x14ac:dyDescent="0.25">
      <c r="B22" s="6">
        <f t="shared" si="1"/>
        <v>136</v>
      </c>
      <c r="C22" s="10">
        <v>1</v>
      </c>
      <c r="D22" s="5">
        <v>41410</v>
      </c>
      <c r="F22" s="6">
        <f t="shared" si="0"/>
        <v>91</v>
      </c>
      <c r="G22" s="10">
        <v>1</v>
      </c>
      <c r="H22" s="5">
        <v>41365</v>
      </c>
      <c r="I22" s="6" t="s">
        <v>342</v>
      </c>
    </row>
    <row r="23" spans="2:9" x14ac:dyDescent="0.25">
      <c r="B23" s="6">
        <f t="shared" si="1"/>
        <v>137</v>
      </c>
      <c r="C23" s="10">
        <v>1</v>
      </c>
      <c r="D23" s="5">
        <v>41411</v>
      </c>
      <c r="F23" s="6">
        <f t="shared" ref="F23:F42" si="2">DAYS360($B$5,H23)</f>
        <v>191</v>
      </c>
      <c r="G23" s="10">
        <v>1</v>
      </c>
      <c r="H23" s="5">
        <v>41466</v>
      </c>
      <c r="I23" s="6" t="s">
        <v>342</v>
      </c>
    </row>
    <row r="24" spans="2:9" x14ac:dyDescent="0.25">
      <c r="B24" s="6">
        <f t="shared" si="1"/>
        <v>148</v>
      </c>
      <c r="C24" s="10">
        <v>1</v>
      </c>
      <c r="D24" s="5">
        <v>41422</v>
      </c>
      <c r="F24" s="6">
        <f t="shared" si="2"/>
        <v>195</v>
      </c>
      <c r="G24" s="10">
        <v>1</v>
      </c>
      <c r="H24" s="5">
        <v>41470</v>
      </c>
      <c r="I24" s="6" t="s">
        <v>342</v>
      </c>
    </row>
    <row r="25" spans="2:9" x14ac:dyDescent="0.25">
      <c r="B25" s="6">
        <f t="shared" ref="B25:B38" si="3">DAYS360($B$5,D25)</f>
        <v>191</v>
      </c>
      <c r="C25" s="14">
        <v>1</v>
      </c>
      <c r="D25" s="5">
        <v>41466</v>
      </c>
      <c r="F25" s="6">
        <f t="shared" si="2"/>
        <v>210</v>
      </c>
      <c r="G25" s="10">
        <v>1</v>
      </c>
      <c r="H25" s="5">
        <v>41485</v>
      </c>
      <c r="I25" s="6" t="s">
        <v>342</v>
      </c>
    </row>
    <row r="26" spans="2:9" x14ac:dyDescent="0.25">
      <c r="B26" s="6">
        <f t="shared" si="3"/>
        <v>195</v>
      </c>
      <c r="C26" s="14">
        <v>1</v>
      </c>
      <c r="D26" s="5">
        <v>41470</v>
      </c>
      <c r="F26" s="6">
        <f t="shared" si="2"/>
        <v>236</v>
      </c>
      <c r="G26" s="10">
        <v>1</v>
      </c>
      <c r="H26" s="5">
        <v>41512</v>
      </c>
      <c r="I26" s="6" t="s">
        <v>342</v>
      </c>
    </row>
    <row r="27" spans="2:9" x14ac:dyDescent="0.25">
      <c r="B27" s="6">
        <f t="shared" si="3"/>
        <v>210</v>
      </c>
      <c r="C27" s="14">
        <v>1</v>
      </c>
      <c r="D27" s="5">
        <v>41485</v>
      </c>
      <c r="F27" s="6">
        <f t="shared" si="2"/>
        <v>284</v>
      </c>
      <c r="G27" s="10">
        <v>1</v>
      </c>
      <c r="H27" s="5">
        <v>41561</v>
      </c>
      <c r="I27" s="6" t="s">
        <v>342</v>
      </c>
    </row>
    <row r="28" spans="2:9" x14ac:dyDescent="0.25">
      <c r="B28" s="6">
        <f t="shared" si="3"/>
        <v>221</v>
      </c>
      <c r="C28" s="14">
        <v>1</v>
      </c>
      <c r="D28" s="5">
        <v>41497</v>
      </c>
      <c r="F28" s="6">
        <f t="shared" si="2"/>
        <v>289</v>
      </c>
      <c r="G28" s="10">
        <v>1</v>
      </c>
      <c r="H28" s="5">
        <v>41566</v>
      </c>
      <c r="I28" s="6" t="s">
        <v>342</v>
      </c>
    </row>
    <row r="29" spans="2:9" x14ac:dyDescent="0.25">
      <c r="B29" s="6">
        <f t="shared" si="3"/>
        <v>236</v>
      </c>
      <c r="C29" s="14">
        <v>1</v>
      </c>
      <c r="D29" s="5">
        <v>41512</v>
      </c>
      <c r="F29" s="6">
        <f t="shared" si="2"/>
        <v>290</v>
      </c>
      <c r="G29" s="10">
        <v>1</v>
      </c>
      <c r="H29" s="5">
        <v>41567</v>
      </c>
      <c r="I29" s="6" t="s">
        <v>342</v>
      </c>
    </row>
    <row r="30" spans="2:9" x14ac:dyDescent="0.25">
      <c r="B30" s="6">
        <f t="shared" si="3"/>
        <v>266</v>
      </c>
      <c r="C30" s="14">
        <v>1</v>
      </c>
      <c r="D30" s="5">
        <v>41543</v>
      </c>
      <c r="F30" s="6">
        <f t="shared" si="2"/>
        <v>311</v>
      </c>
      <c r="G30" s="10">
        <v>1</v>
      </c>
      <c r="H30" s="5">
        <v>41589</v>
      </c>
      <c r="I30" s="6" t="s">
        <v>342</v>
      </c>
    </row>
    <row r="31" spans="2:9" x14ac:dyDescent="0.25">
      <c r="B31" s="6">
        <f t="shared" si="3"/>
        <v>277</v>
      </c>
      <c r="C31" s="14">
        <v>1</v>
      </c>
      <c r="D31" s="5">
        <v>41554</v>
      </c>
      <c r="F31" s="6">
        <f t="shared" si="2"/>
        <v>320</v>
      </c>
      <c r="G31" s="10">
        <v>1</v>
      </c>
      <c r="H31" s="5">
        <v>41598</v>
      </c>
      <c r="I31" s="6" t="s">
        <v>342</v>
      </c>
    </row>
    <row r="32" spans="2:9" x14ac:dyDescent="0.25">
      <c r="B32" s="6">
        <f t="shared" si="3"/>
        <v>284</v>
      </c>
      <c r="C32" s="14">
        <v>1</v>
      </c>
      <c r="D32" s="5">
        <v>41561</v>
      </c>
      <c r="F32" s="6">
        <f t="shared" si="2"/>
        <v>325</v>
      </c>
      <c r="G32" s="10">
        <v>1</v>
      </c>
      <c r="H32" s="5">
        <v>41603</v>
      </c>
      <c r="I32" s="6" t="s">
        <v>342</v>
      </c>
    </row>
    <row r="33" spans="2:9" x14ac:dyDescent="0.25">
      <c r="B33" s="6">
        <f t="shared" si="3"/>
        <v>289</v>
      </c>
      <c r="C33" s="14">
        <v>1</v>
      </c>
      <c r="D33" s="5">
        <v>41566</v>
      </c>
      <c r="F33" s="6">
        <f t="shared" si="2"/>
        <v>339</v>
      </c>
      <c r="G33" s="10">
        <v>1</v>
      </c>
      <c r="H33" s="5">
        <v>41617</v>
      </c>
      <c r="I33" s="6" t="s">
        <v>342</v>
      </c>
    </row>
    <row r="34" spans="2:9" x14ac:dyDescent="0.25">
      <c r="B34" s="6">
        <f t="shared" si="3"/>
        <v>290</v>
      </c>
      <c r="C34" s="14">
        <v>1</v>
      </c>
      <c r="D34" s="5">
        <v>41567</v>
      </c>
      <c r="F34" s="6">
        <f t="shared" si="2"/>
        <v>27</v>
      </c>
      <c r="G34" s="10">
        <v>1</v>
      </c>
      <c r="H34" s="5">
        <v>41301</v>
      </c>
      <c r="I34" s="6" t="s">
        <v>385</v>
      </c>
    </row>
    <row r="35" spans="2:9" x14ac:dyDescent="0.25">
      <c r="B35" s="6">
        <f t="shared" si="3"/>
        <v>311</v>
      </c>
      <c r="C35" s="14">
        <v>1</v>
      </c>
      <c r="D35" s="5">
        <v>41589</v>
      </c>
      <c r="F35" s="6">
        <f t="shared" si="2"/>
        <v>73</v>
      </c>
      <c r="G35" s="10">
        <v>1</v>
      </c>
      <c r="H35" s="5">
        <v>41346</v>
      </c>
      <c r="I35" s="6" t="s">
        <v>385</v>
      </c>
    </row>
    <row r="36" spans="2:9" x14ac:dyDescent="0.25">
      <c r="B36" s="6">
        <f t="shared" si="3"/>
        <v>320</v>
      </c>
      <c r="C36" s="14">
        <v>1</v>
      </c>
      <c r="D36" s="5">
        <v>41598</v>
      </c>
      <c r="F36" s="6">
        <f t="shared" si="2"/>
        <v>137</v>
      </c>
      <c r="G36" s="10">
        <v>1</v>
      </c>
      <c r="H36" s="5">
        <v>41411</v>
      </c>
      <c r="I36" s="6" t="s">
        <v>385</v>
      </c>
    </row>
    <row r="37" spans="2:9" x14ac:dyDescent="0.25">
      <c r="B37" s="6">
        <f t="shared" si="3"/>
        <v>325</v>
      </c>
      <c r="C37" s="14">
        <v>1</v>
      </c>
      <c r="D37" s="5">
        <v>41603</v>
      </c>
      <c r="F37" s="6">
        <f t="shared" si="2"/>
        <v>266</v>
      </c>
      <c r="G37" s="10">
        <v>1</v>
      </c>
      <c r="H37" s="5">
        <v>41543</v>
      </c>
      <c r="I37" s="6" t="s">
        <v>385</v>
      </c>
    </row>
    <row r="38" spans="2:9" x14ac:dyDescent="0.25">
      <c r="B38" s="6">
        <f t="shared" si="3"/>
        <v>339</v>
      </c>
      <c r="C38" s="6">
        <v>2</v>
      </c>
      <c r="D38" s="5">
        <v>41617</v>
      </c>
      <c r="F38" s="6">
        <f t="shared" si="2"/>
        <v>277</v>
      </c>
      <c r="G38" s="10">
        <v>1</v>
      </c>
      <c r="H38" s="5">
        <v>41554</v>
      </c>
      <c r="I38" s="6" t="s">
        <v>385</v>
      </c>
    </row>
    <row r="39" spans="2:9" x14ac:dyDescent="0.25">
      <c r="F39" s="6">
        <f t="shared" si="2"/>
        <v>61</v>
      </c>
      <c r="G39" s="10">
        <v>1</v>
      </c>
      <c r="H39" s="5">
        <v>41334</v>
      </c>
      <c r="I39" s="6" t="s">
        <v>370</v>
      </c>
    </row>
    <row r="40" spans="2:9" x14ac:dyDescent="0.25">
      <c r="F40" s="6">
        <f t="shared" si="2"/>
        <v>107</v>
      </c>
      <c r="G40" s="10">
        <v>1</v>
      </c>
      <c r="H40" s="5">
        <v>41381</v>
      </c>
      <c r="I40" s="6" t="s">
        <v>370</v>
      </c>
    </row>
    <row r="41" spans="2:9" x14ac:dyDescent="0.25">
      <c r="F41" s="6">
        <f t="shared" si="2"/>
        <v>157</v>
      </c>
      <c r="G41" s="10">
        <v>1</v>
      </c>
      <c r="H41" s="5">
        <v>41432</v>
      </c>
      <c r="I41" s="6" t="s">
        <v>370</v>
      </c>
    </row>
    <row r="42" spans="2:9" x14ac:dyDescent="0.25">
      <c r="F42" s="6">
        <f t="shared" si="2"/>
        <v>339</v>
      </c>
      <c r="G42" s="10">
        <v>1</v>
      </c>
      <c r="H42" s="5">
        <v>41617</v>
      </c>
      <c r="I42" s="6" t="s">
        <v>370</v>
      </c>
    </row>
    <row r="43" spans="2:9" x14ac:dyDescent="0.25">
      <c r="B43" s="3"/>
    </row>
    <row r="44" spans="2:9" x14ac:dyDescent="0.25">
      <c r="B44" s="3"/>
    </row>
    <row r="45" spans="2:9" x14ac:dyDescent="0.25">
      <c r="B45" s="3"/>
    </row>
  </sheetData>
  <sheetProtection sheet="1" objects="1" scenarios="1"/>
  <sortState ref="F6:I48">
    <sortCondition ref="I6:I48"/>
  </sortState>
  <mergeCells count="2">
    <mergeCell ref="B2:D3"/>
    <mergeCell ref="F2:I3"/>
  </mergeCells>
  <pageMargins left="0.7" right="0.7" top="0.75" bottom="0.75" header="0.3" footer="0.3"/>
  <pageSetup paperSize="9" orientation="portrait" horizontalDpi="300" verticalDpi="0" copies="0" r:id="rId1"/>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7030A0"/>
  </sheetPr>
  <dimension ref="B2:AG60"/>
  <sheetViews>
    <sheetView zoomScale="85" zoomScaleNormal="85" workbookViewId="0">
      <selection activeCell="AL12" sqref="AL12"/>
    </sheetView>
  </sheetViews>
  <sheetFormatPr defaultRowHeight="15" x14ac:dyDescent="0.25"/>
  <cols>
    <col min="1" max="1" width="3" customWidth="1"/>
    <col min="2" max="2" width="10.42578125" bestFit="1" customWidth="1"/>
    <col min="3" max="3" width="12" bestFit="1" customWidth="1"/>
    <col min="4" max="4" width="10.42578125" bestFit="1" customWidth="1"/>
    <col min="5" max="5" width="20" bestFit="1" customWidth="1"/>
    <col min="7" max="7" width="10.85546875" bestFit="1" customWidth="1"/>
    <col min="8" max="8" width="14.85546875" bestFit="1" customWidth="1"/>
    <col min="9" max="10" width="10.7109375" bestFit="1" customWidth="1"/>
    <col min="11" max="11" width="10.7109375" customWidth="1"/>
    <col min="12" max="12" width="12.28515625" bestFit="1" customWidth="1"/>
    <col min="13" max="13" width="13.7109375" bestFit="1" customWidth="1"/>
    <col min="14" max="16" width="10.7109375" customWidth="1"/>
    <col min="17" max="17" width="14" bestFit="1" customWidth="1"/>
    <col min="19" max="20" width="10.42578125" bestFit="1" customWidth="1"/>
    <col min="21" max="21" width="20.42578125" bestFit="1" customWidth="1"/>
    <col min="23" max="23" width="10.85546875" bestFit="1" customWidth="1"/>
    <col min="24" max="24" width="14.85546875" bestFit="1" customWidth="1"/>
    <col min="25" max="26" width="11.42578125" bestFit="1" customWidth="1"/>
    <col min="27" max="27" width="11.42578125" customWidth="1"/>
    <col min="28" max="28" width="12.28515625" bestFit="1" customWidth="1"/>
    <col min="29" max="29" width="13.7109375" bestFit="1" customWidth="1"/>
    <col min="30" max="30" width="12" bestFit="1" customWidth="1"/>
    <col min="31" max="32" width="11.42578125" customWidth="1"/>
    <col min="33" max="33" width="14" bestFit="1" customWidth="1"/>
  </cols>
  <sheetData>
    <row r="2" spans="2:33" ht="15" customHeight="1" x14ac:dyDescent="0.25">
      <c r="B2" s="124" t="s">
        <v>240</v>
      </c>
      <c r="C2" s="125"/>
      <c r="D2" s="125"/>
      <c r="E2" s="125"/>
      <c r="F2" s="125"/>
      <c r="G2" s="125"/>
      <c r="H2" s="125"/>
      <c r="I2" s="125"/>
      <c r="J2" s="125"/>
      <c r="K2" s="125"/>
      <c r="L2" s="125"/>
      <c r="M2" s="125"/>
      <c r="N2" s="125"/>
      <c r="O2" s="125"/>
      <c r="P2" s="125"/>
      <c r="Q2" s="126"/>
      <c r="S2" s="123" t="s">
        <v>244</v>
      </c>
      <c r="T2" s="123"/>
      <c r="U2" s="123"/>
      <c r="V2" s="123"/>
      <c r="W2" s="123"/>
      <c r="X2" s="123"/>
      <c r="Y2" s="123"/>
      <c r="Z2" s="123"/>
      <c r="AA2" s="123"/>
      <c r="AB2" s="123"/>
      <c r="AC2" s="123"/>
      <c r="AD2" s="123"/>
      <c r="AE2" s="123"/>
      <c r="AF2" s="123"/>
      <c r="AG2" s="123"/>
    </row>
    <row r="3" spans="2:33" x14ac:dyDescent="0.25">
      <c r="B3" s="127"/>
      <c r="C3" s="128"/>
      <c r="D3" s="128"/>
      <c r="E3" s="128"/>
      <c r="F3" s="128"/>
      <c r="G3" s="128"/>
      <c r="H3" s="128"/>
      <c r="I3" s="128"/>
      <c r="J3" s="128"/>
      <c r="K3" s="128"/>
      <c r="L3" s="128"/>
      <c r="M3" s="128"/>
      <c r="N3" s="128"/>
      <c r="O3" s="128"/>
      <c r="P3" s="128"/>
      <c r="Q3" s="129"/>
      <c r="S3" s="123"/>
      <c r="T3" s="123"/>
      <c r="U3" s="123"/>
      <c r="V3" s="123"/>
      <c r="W3" s="123"/>
      <c r="X3" s="123"/>
      <c r="Y3" s="123"/>
      <c r="Z3" s="123"/>
      <c r="AA3" s="123"/>
      <c r="AB3" s="123"/>
      <c r="AC3" s="123"/>
      <c r="AD3" s="123"/>
      <c r="AE3" s="123"/>
      <c r="AF3" s="123"/>
      <c r="AG3" s="123"/>
    </row>
    <row r="4" spans="2:33" x14ac:dyDescent="0.25">
      <c r="B4" s="7" t="s">
        <v>165</v>
      </c>
      <c r="C4" s="7" t="s">
        <v>168</v>
      </c>
      <c r="D4" s="7" t="s">
        <v>5</v>
      </c>
      <c r="E4" s="7" t="s">
        <v>2</v>
      </c>
      <c r="F4" s="7" t="s">
        <v>185</v>
      </c>
      <c r="G4" s="7" t="s">
        <v>191</v>
      </c>
      <c r="H4" s="7" t="s">
        <v>192</v>
      </c>
      <c r="I4" s="7" t="s">
        <v>194</v>
      </c>
      <c r="J4" s="7" t="s">
        <v>194</v>
      </c>
      <c r="K4" s="7" t="s">
        <v>223</v>
      </c>
      <c r="L4" s="7" t="s">
        <v>238</v>
      </c>
      <c r="M4" s="7" t="s">
        <v>236</v>
      </c>
      <c r="N4" s="41" t="s">
        <v>208</v>
      </c>
      <c r="O4" s="41" t="s">
        <v>230</v>
      </c>
      <c r="P4" s="41" t="s">
        <v>231</v>
      </c>
      <c r="Q4" s="41" t="s">
        <v>211</v>
      </c>
      <c r="S4" s="7" t="s">
        <v>165</v>
      </c>
      <c r="T4" s="7" t="s">
        <v>5</v>
      </c>
      <c r="U4" s="7" t="s">
        <v>197</v>
      </c>
      <c r="V4" s="7" t="s">
        <v>185</v>
      </c>
      <c r="W4" s="7" t="s">
        <v>191</v>
      </c>
      <c r="X4" s="7" t="s">
        <v>192</v>
      </c>
      <c r="Y4" s="7" t="s">
        <v>198</v>
      </c>
      <c r="Z4" s="7" t="s">
        <v>198</v>
      </c>
      <c r="AA4" s="7" t="s">
        <v>224</v>
      </c>
      <c r="AB4" s="7" t="s">
        <v>238</v>
      </c>
      <c r="AC4" s="7" t="s">
        <v>236</v>
      </c>
      <c r="AD4" s="41" t="s">
        <v>208</v>
      </c>
      <c r="AE4" s="41" t="s">
        <v>230</v>
      </c>
      <c r="AF4" s="41" t="s">
        <v>231</v>
      </c>
      <c r="AG4" s="41" t="s">
        <v>211</v>
      </c>
    </row>
    <row r="5" spans="2:33" x14ac:dyDescent="0.25">
      <c r="B5" s="8">
        <v>41274</v>
      </c>
      <c r="C5" s="8"/>
      <c r="D5" s="9"/>
      <c r="E5" s="9"/>
      <c r="F5" s="9" t="s">
        <v>187</v>
      </c>
      <c r="G5" s="9"/>
      <c r="H5" s="9" t="s">
        <v>187</v>
      </c>
      <c r="I5" s="9" t="s">
        <v>187</v>
      </c>
      <c r="J5" s="9" t="s">
        <v>199</v>
      </c>
      <c r="K5" s="9" t="s">
        <v>187</v>
      </c>
      <c r="L5" s="9" t="s">
        <v>237</v>
      </c>
      <c r="M5" s="9" t="s">
        <v>237</v>
      </c>
      <c r="N5" s="42" t="s">
        <v>233</v>
      </c>
      <c r="O5" s="42" t="s">
        <v>233</v>
      </c>
      <c r="P5" s="42" t="s">
        <v>233</v>
      </c>
      <c r="Q5" s="42" t="s">
        <v>233</v>
      </c>
      <c r="S5" s="8">
        <v>41639</v>
      </c>
      <c r="T5" s="9"/>
      <c r="U5" s="9"/>
      <c r="V5" s="9" t="s">
        <v>187</v>
      </c>
      <c r="W5" s="9"/>
      <c r="X5" s="9" t="s">
        <v>187</v>
      </c>
      <c r="Y5" s="9" t="s">
        <v>187</v>
      </c>
      <c r="Z5" s="9" t="s">
        <v>199</v>
      </c>
      <c r="AA5" s="9" t="s">
        <v>187</v>
      </c>
      <c r="AB5" s="9" t="s">
        <v>237</v>
      </c>
      <c r="AC5" s="9" t="s">
        <v>237</v>
      </c>
      <c r="AD5" s="42" t="s">
        <v>233</v>
      </c>
      <c r="AE5" s="42" t="s">
        <v>233</v>
      </c>
      <c r="AF5" s="42" t="s">
        <v>233</v>
      </c>
      <c r="AG5" s="42" t="s">
        <v>233</v>
      </c>
    </row>
    <row r="6" spans="2:33" x14ac:dyDescent="0.25">
      <c r="B6" s="6">
        <f t="shared" ref="B6:B22" si="0">DAYS360($B$5,D6)</f>
        <v>23</v>
      </c>
      <c r="C6" s="10">
        <v>1</v>
      </c>
      <c r="D6" s="5">
        <v>41297</v>
      </c>
      <c r="E6" s="6" t="s">
        <v>409</v>
      </c>
      <c r="F6" s="33">
        <v>120</v>
      </c>
      <c r="G6" s="31"/>
      <c r="H6" s="31"/>
      <c r="I6" s="31"/>
      <c r="J6" s="31"/>
      <c r="K6" s="31"/>
      <c r="L6" s="6">
        <f t="shared" ref="L6:L42" si="1">F6-$F$43</f>
        <v>-417.56756756756761</v>
      </c>
      <c r="M6" s="6">
        <f t="shared" ref="M6:M22" si="2">SQRT((L6*L6)/COUNT(B6:B42))</f>
        <v>68.647685239669471</v>
      </c>
      <c r="N6" s="31"/>
      <c r="O6" s="31"/>
      <c r="P6" s="31"/>
      <c r="Q6" s="31"/>
      <c r="S6" s="6">
        <f t="shared" ref="S6" si="3">DAYS360($B$5,T6)</f>
        <v>61</v>
      </c>
      <c r="T6" s="5">
        <v>41334</v>
      </c>
      <c r="U6" s="6" t="s">
        <v>381</v>
      </c>
      <c r="V6" s="33">
        <f>9*60+30</f>
        <v>570</v>
      </c>
      <c r="W6" s="6">
        <f>COUNT(V6:V6)</f>
        <v>1</v>
      </c>
      <c r="X6" s="6">
        <f>SUM(V6:V6)</f>
        <v>570</v>
      </c>
      <c r="Y6" s="6">
        <f>(518400-X6)/W6</f>
        <v>517830</v>
      </c>
      <c r="Z6" s="6">
        <f>INT(Y6/60/24)</f>
        <v>359</v>
      </c>
      <c r="AA6" s="6">
        <f>X6/W6</f>
        <v>570</v>
      </c>
      <c r="AB6" s="6">
        <f>X6-V7</f>
        <v>0</v>
      </c>
      <c r="AC6" s="33">
        <f>SQRT((AB6*AB6)/COUNT($S$6:$S$6))</f>
        <v>0</v>
      </c>
      <c r="AD6" s="6">
        <f>W6/365</f>
        <v>2.7397260273972603E-3</v>
      </c>
      <c r="AE6" s="6">
        <f>AD6*EXP(-AD6*365)</f>
        <v>1.0078888799217598E-3</v>
      </c>
      <c r="AF6" s="6">
        <f>1-EXP(-AD6*365)</f>
        <v>0.63212055882855767</v>
      </c>
      <c r="AG6" s="6">
        <f>EXP(-AD6*365)</f>
        <v>0.36787944117144233</v>
      </c>
    </row>
    <row r="7" spans="2:33" x14ac:dyDescent="0.25">
      <c r="B7" s="6">
        <f t="shared" si="0"/>
        <v>221</v>
      </c>
      <c r="C7" s="10">
        <v>1</v>
      </c>
      <c r="D7" s="5">
        <v>41497</v>
      </c>
      <c r="E7" s="6" t="s">
        <v>409</v>
      </c>
      <c r="F7" s="33">
        <f>7*24*60</f>
        <v>10080</v>
      </c>
      <c r="G7" s="6">
        <f>COUNT(F6:F7)</f>
        <v>2</v>
      </c>
      <c r="H7" s="6">
        <f>SUM(F6:F7)</f>
        <v>10200</v>
      </c>
      <c r="I7" s="6">
        <f>(518400-H7)/G7</f>
        <v>254100</v>
      </c>
      <c r="J7" s="6">
        <f>INT(I7/60/24)</f>
        <v>176</v>
      </c>
      <c r="K7" s="6">
        <f>H7/G7</f>
        <v>5100</v>
      </c>
      <c r="L7" s="6">
        <f t="shared" si="1"/>
        <v>9542.4324324324316</v>
      </c>
      <c r="M7" s="6">
        <f t="shared" si="2"/>
        <v>1590.4054054054054</v>
      </c>
      <c r="N7" s="6">
        <f>G7/365</f>
        <v>5.4794520547945206E-3</v>
      </c>
      <c r="O7" s="6">
        <f>N7*EXP(-N7*365)</f>
        <v>7.4156319581705592E-4</v>
      </c>
      <c r="P7" s="6">
        <f>1-EXP(-N7*365)</f>
        <v>0.8646647167633873</v>
      </c>
      <c r="Q7" s="6">
        <f>EXP(-N7*365)</f>
        <v>0.1353352832366127</v>
      </c>
      <c r="S7" s="31"/>
      <c r="T7" s="31"/>
      <c r="U7" s="43" t="s">
        <v>235</v>
      </c>
      <c r="V7" s="6">
        <f>AVERAGE(V6)</f>
        <v>570</v>
      </c>
      <c r="W7" s="31"/>
      <c r="X7" s="31"/>
      <c r="Y7" s="31"/>
      <c r="Z7" s="31"/>
      <c r="AA7" s="31"/>
      <c r="AB7" s="31"/>
      <c r="AC7" s="31"/>
      <c r="AD7" s="31"/>
      <c r="AE7" s="31"/>
      <c r="AF7" s="31"/>
      <c r="AG7" s="31"/>
    </row>
    <row r="8" spans="2:33" x14ac:dyDescent="0.25">
      <c r="B8" s="6">
        <f t="shared" si="0"/>
        <v>136</v>
      </c>
      <c r="C8" s="10">
        <v>1</v>
      </c>
      <c r="D8" s="5">
        <v>41410</v>
      </c>
      <c r="E8" s="6" t="s">
        <v>333</v>
      </c>
      <c r="F8" s="33">
        <v>120</v>
      </c>
      <c r="G8" s="31"/>
      <c r="H8" s="31"/>
      <c r="I8" s="31"/>
      <c r="J8" s="31"/>
      <c r="K8" s="31"/>
      <c r="L8" s="6">
        <f t="shared" si="1"/>
        <v>-417.56756756756761</v>
      </c>
      <c r="M8" s="6">
        <f t="shared" si="2"/>
        <v>70.581801273273413</v>
      </c>
      <c r="N8" s="31"/>
      <c r="O8" s="31"/>
      <c r="P8" s="31"/>
      <c r="Q8" s="31"/>
      <c r="S8" s="6">
        <f>DAYS360($B$5,T8)</f>
        <v>107</v>
      </c>
      <c r="T8" s="5">
        <v>41381</v>
      </c>
      <c r="U8" s="6" t="s">
        <v>383</v>
      </c>
      <c r="V8" s="33">
        <v>360</v>
      </c>
      <c r="W8" s="31"/>
      <c r="X8" s="31"/>
      <c r="Y8" s="31"/>
      <c r="Z8" s="31"/>
      <c r="AA8" s="31"/>
      <c r="AB8" s="31"/>
      <c r="AC8" s="31"/>
      <c r="AD8" s="31"/>
      <c r="AE8" s="31"/>
      <c r="AF8" s="31"/>
      <c r="AG8" s="31"/>
    </row>
    <row r="9" spans="2:33" x14ac:dyDescent="0.25">
      <c r="B9" s="6">
        <f t="shared" si="0"/>
        <v>148</v>
      </c>
      <c r="C9" s="10">
        <v>1</v>
      </c>
      <c r="D9" s="5">
        <v>41422</v>
      </c>
      <c r="E9" s="6" t="s">
        <v>333</v>
      </c>
      <c r="F9" s="33">
        <v>180</v>
      </c>
      <c r="G9" s="6">
        <f>COUNT(F8:F9)</f>
        <v>2</v>
      </c>
      <c r="H9" s="6">
        <f>SUM(F8:F9)</f>
        <v>300</v>
      </c>
      <c r="I9" s="6">
        <f>(518400-H9)/G9</f>
        <v>259050</v>
      </c>
      <c r="J9" s="6">
        <f>INT(I9/60/24)</f>
        <v>179</v>
      </c>
      <c r="K9" s="6">
        <f>H9/G9</f>
        <v>150</v>
      </c>
      <c r="L9" s="6">
        <f t="shared" si="1"/>
        <v>-357.56756756756761</v>
      </c>
      <c r="M9" s="6">
        <f t="shared" si="2"/>
        <v>61.322331930686275</v>
      </c>
      <c r="N9" s="6">
        <f>G9/365</f>
        <v>5.4794520547945206E-3</v>
      </c>
      <c r="O9" s="6">
        <f>N9*EXP(-N9*365)</f>
        <v>7.4156319581705592E-4</v>
      </c>
      <c r="P9" s="6">
        <f>1-EXP(-N9*365)</f>
        <v>0.8646647167633873</v>
      </c>
      <c r="Q9" s="6">
        <f>EXP(-N9*365)</f>
        <v>0.1353352832366127</v>
      </c>
      <c r="S9" s="6">
        <f>DAYS360($B$5,T9)</f>
        <v>339</v>
      </c>
      <c r="T9" s="5">
        <v>41617</v>
      </c>
      <c r="U9" s="6" t="s">
        <v>383</v>
      </c>
      <c r="V9" s="33">
        <f>11*60</f>
        <v>660</v>
      </c>
      <c r="W9" s="6">
        <f>COUNT(V8:V9)</f>
        <v>2</v>
      </c>
      <c r="X9" s="6">
        <f>SUM(V8:V9)</f>
        <v>1020</v>
      </c>
      <c r="Y9" s="6">
        <f>(518400-X9)/W9</f>
        <v>258690</v>
      </c>
      <c r="Z9" s="6">
        <f>INT(Y9/60/24)</f>
        <v>179</v>
      </c>
      <c r="AA9" s="6">
        <f>X9/W9</f>
        <v>510</v>
      </c>
      <c r="AB9" s="6">
        <f>X9-V10</f>
        <v>510</v>
      </c>
      <c r="AC9" s="6">
        <f>SQRT((AB9*AB9)/COUNT(S8:S9))</f>
        <v>360.62445840513925</v>
      </c>
      <c r="AD9" s="6">
        <f>W9/365</f>
        <v>5.4794520547945206E-3</v>
      </c>
      <c r="AE9" s="6">
        <f>AD9*EXP(-AD9*365)</f>
        <v>7.4156319581705592E-4</v>
      </c>
      <c r="AF9" s="6">
        <f>1-EXP(-AD9*365)</f>
        <v>0.8646647167633873</v>
      </c>
      <c r="AG9" s="6">
        <f>EXP(-AD9*365)</f>
        <v>0.1353352832366127</v>
      </c>
    </row>
    <row r="10" spans="2:33" x14ac:dyDescent="0.25">
      <c r="B10" s="6">
        <f t="shared" si="0"/>
        <v>23</v>
      </c>
      <c r="C10" s="10">
        <v>1</v>
      </c>
      <c r="D10" s="5">
        <v>41297</v>
      </c>
      <c r="E10" s="6" t="s">
        <v>342</v>
      </c>
      <c r="F10" s="33">
        <v>30</v>
      </c>
      <c r="G10" s="31"/>
      <c r="H10" s="31"/>
      <c r="I10" s="31"/>
      <c r="J10" s="31"/>
      <c r="K10" s="31"/>
      <c r="L10" s="6">
        <f t="shared" si="1"/>
        <v>-507.56756756756761</v>
      </c>
      <c r="M10" s="6">
        <f t="shared" si="2"/>
        <v>88.356172401297457</v>
      </c>
      <c r="N10" s="31"/>
      <c r="O10" s="31"/>
      <c r="P10" s="31"/>
      <c r="Q10" s="31"/>
      <c r="S10" s="31"/>
      <c r="T10" s="31"/>
      <c r="U10" s="43" t="s">
        <v>235</v>
      </c>
      <c r="V10" s="6">
        <f>AVERAGE(V8:V9)</f>
        <v>510</v>
      </c>
      <c r="W10" s="31"/>
      <c r="X10" s="31"/>
      <c r="Y10" s="31"/>
      <c r="Z10" s="31"/>
      <c r="AA10" s="31"/>
      <c r="AB10" s="31"/>
      <c r="AC10" s="31"/>
      <c r="AD10" s="31"/>
      <c r="AE10" s="31"/>
      <c r="AF10" s="31"/>
      <c r="AG10" s="31"/>
    </row>
    <row r="11" spans="2:33" x14ac:dyDescent="0.25">
      <c r="B11" s="6">
        <f t="shared" si="0"/>
        <v>25</v>
      </c>
      <c r="C11" s="10">
        <v>1</v>
      </c>
      <c r="D11" s="5">
        <v>41299</v>
      </c>
      <c r="E11" s="6" t="s">
        <v>342</v>
      </c>
      <c r="F11" s="33">
        <v>360</v>
      </c>
      <c r="G11" s="31"/>
      <c r="H11" s="31"/>
      <c r="I11" s="31"/>
      <c r="J11" s="31"/>
      <c r="K11" s="31"/>
      <c r="L11" s="6">
        <f t="shared" si="1"/>
        <v>-177.56756756756761</v>
      </c>
      <c r="M11" s="6">
        <f t="shared" si="2"/>
        <v>31.389807786456881</v>
      </c>
      <c r="N11" s="31"/>
      <c r="O11" s="31"/>
      <c r="P11" s="31"/>
      <c r="Q11" s="31"/>
      <c r="S11" s="6">
        <f>DAYS360($B$5,T11)</f>
        <v>157</v>
      </c>
      <c r="T11" s="5">
        <v>41432</v>
      </c>
      <c r="U11" s="6" t="s">
        <v>379</v>
      </c>
      <c r="V11" s="33">
        <v>630</v>
      </c>
      <c r="W11" s="6">
        <f>COUNT(V11:V11)</f>
        <v>1</v>
      </c>
      <c r="X11" s="6">
        <f>SUM(V11:V11)</f>
        <v>630</v>
      </c>
      <c r="Y11" s="6">
        <f>(518400-X11)/W11</f>
        <v>517770</v>
      </c>
      <c r="Z11" s="6">
        <f>INT(Y11/60/24)</f>
        <v>359</v>
      </c>
      <c r="AA11" s="6">
        <f>X11/W11</f>
        <v>630</v>
      </c>
      <c r="AB11" s="6">
        <f>X11-V12</f>
        <v>0</v>
      </c>
      <c r="AC11" s="33">
        <f>SQRT((AB11*AB11)/COUNT(S11))</f>
        <v>0</v>
      </c>
      <c r="AD11" s="6">
        <f>W11/365</f>
        <v>2.7397260273972603E-3</v>
      </c>
      <c r="AE11" s="6">
        <f>AD11*EXP(-AD11*365)</f>
        <v>1.0078888799217598E-3</v>
      </c>
      <c r="AF11" s="6">
        <f>1-EXP(-AD11*365)</f>
        <v>0.63212055882855767</v>
      </c>
      <c r="AG11" s="6">
        <f>EXP(-AD11*365)</f>
        <v>0.36787944117144233</v>
      </c>
    </row>
    <row r="12" spans="2:33" x14ac:dyDescent="0.25">
      <c r="B12" s="6">
        <f t="shared" si="0"/>
        <v>28</v>
      </c>
      <c r="C12" s="10">
        <v>1</v>
      </c>
      <c r="D12" s="5">
        <v>41302</v>
      </c>
      <c r="E12" s="6" t="s">
        <v>342</v>
      </c>
      <c r="F12" s="33">
        <v>60</v>
      </c>
      <c r="G12" s="31"/>
      <c r="H12" s="31"/>
      <c r="I12" s="31"/>
      <c r="J12" s="31"/>
      <c r="K12" s="31"/>
      <c r="L12" s="6">
        <f t="shared" si="1"/>
        <v>-477.56756756756761</v>
      </c>
      <c r="M12" s="6">
        <f t="shared" si="2"/>
        <v>85.773667211165204</v>
      </c>
      <c r="N12" s="31"/>
      <c r="O12" s="31"/>
      <c r="P12" s="31"/>
      <c r="Q12" s="31"/>
      <c r="S12" s="31"/>
      <c r="T12" s="31"/>
      <c r="U12" s="43" t="s">
        <v>235</v>
      </c>
      <c r="V12" s="6">
        <f>AVERAGE(V11)</f>
        <v>630</v>
      </c>
      <c r="W12" s="31"/>
      <c r="X12" s="31"/>
      <c r="Y12" s="31"/>
      <c r="Z12" s="31"/>
      <c r="AA12" s="31"/>
      <c r="AB12" s="31"/>
      <c r="AC12" s="31"/>
      <c r="AD12" s="31"/>
      <c r="AE12" s="31"/>
      <c r="AF12" s="31"/>
      <c r="AG12" s="31"/>
    </row>
    <row r="13" spans="2:33" x14ac:dyDescent="0.25">
      <c r="B13" s="6">
        <f t="shared" si="0"/>
        <v>29</v>
      </c>
      <c r="C13" s="10">
        <v>1</v>
      </c>
      <c r="D13" s="5">
        <v>41303</v>
      </c>
      <c r="E13" s="6" t="s">
        <v>342</v>
      </c>
      <c r="F13" s="33">
        <v>120</v>
      </c>
      <c r="G13" s="31"/>
      <c r="H13" s="31"/>
      <c r="I13" s="31"/>
      <c r="J13" s="31"/>
      <c r="K13" s="31"/>
      <c r="L13" s="6">
        <f t="shared" si="1"/>
        <v>-417.56756756756761</v>
      </c>
      <c r="M13" s="6">
        <f t="shared" si="2"/>
        <v>76.237058679773128</v>
      </c>
      <c r="N13" s="31"/>
      <c r="O13" s="31"/>
      <c r="P13" s="31"/>
      <c r="Q13" s="31"/>
      <c r="S13" s="6">
        <f>DAYS360($B$5,T13)</f>
        <v>136</v>
      </c>
      <c r="T13" s="5">
        <v>41410</v>
      </c>
      <c r="U13" s="6" t="s">
        <v>338</v>
      </c>
      <c r="V13" s="33">
        <v>120</v>
      </c>
      <c r="W13" s="6">
        <f>COUNT(V13:V13)</f>
        <v>1</v>
      </c>
      <c r="X13" s="6">
        <f>SUM(V13:V13)</f>
        <v>120</v>
      </c>
      <c r="Y13" s="6">
        <f>(518400-X13)/W13</f>
        <v>518280</v>
      </c>
      <c r="Z13" s="6">
        <f>INT(Y13/60/24)</f>
        <v>359</v>
      </c>
      <c r="AA13" s="6">
        <f>X13/W13</f>
        <v>120</v>
      </c>
      <c r="AB13" s="6">
        <f>X13-V14</f>
        <v>0</v>
      </c>
      <c r="AC13" s="33">
        <f>SQRT((AB13*AB13)/COUNT(S13))</f>
        <v>0</v>
      </c>
      <c r="AD13" s="6">
        <f>W13/365</f>
        <v>2.7397260273972603E-3</v>
      </c>
      <c r="AE13" s="6">
        <f>AD13*EXP(-AD13*365)</f>
        <v>1.0078888799217598E-3</v>
      </c>
      <c r="AF13" s="6">
        <f>1-EXP(-AD13*365)</f>
        <v>0.63212055882855767</v>
      </c>
      <c r="AG13" s="6">
        <f>EXP(-AD13*365)</f>
        <v>0.36787944117144233</v>
      </c>
    </row>
    <row r="14" spans="2:33" x14ac:dyDescent="0.25">
      <c r="B14" s="6">
        <f t="shared" si="0"/>
        <v>37</v>
      </c>
      <c r="C14" s="10">
        <v>1</v>
      </c>
      <c r="D14" s="5">
        <v>41312</v>
      </c>
      <c r="E14" s="6" t="s">
        <v>342</v>
      </c>
      <c r="F14" s="33">
        <v>150</v>
      </c>
      <c r="G14" s="31"/>
      <c r="H14" s="31"/>
      <c r="I14" s="31"/>
      <c r="J14" s="31"/>
      <c r="K14" s="31"/>
      <c r="L14" s="6">
        <f t="shared" si="1"/>
        <v>-387.56756756756761</v>
      </c>
      <c r="M14" s="6">
        <f t="shared" si="2"/>
        <v>71.969490525916868</v>
      </c>
      <c r="N14" s="31"/>
      <c r="O14" s="31"/>
      <c r="P14" s="31"/>
      <c r="Q14" s="31"/>
      <c r="S14" s="31"/>
      <c r="T14" s="31"/>
      <c r="U14" s="43" t="s">
        <v>235</v>
      </c>
      <c r="V14" s="6">
        <f>AVERAGE(V13)</f>
        <v>120</v>
      </c>
      <c r="W14" s="31"/>
      <c r="X14" s="31"/>
      <c r="Y14" s="31"/>
      <c r="Z14" s="31"/>
      <c r="AA14" s="31"/>
      <c r="AB14" s="31"/>
      <c r="AC14" s="31"/>
      <c r="AD14" s="31"/>
      <c r="AE14" s="31"/>
      <c r="AF14" s="31"/>
      <c r="AG14" s="31"/>
    </row>
    <row r="15" spans="2:33" x14ac:dyDescent="0.25">
      <c r="B15" s="6">
        <f t="shared" si="0"/>
        <v>56</v>
      </c>
      <c r="C15" s="10">
        <v>1</v>
      </c>
      <c r="D15" s="5">
        <v>41331</v>
      </c>
      <c r="E15" s="6" t="s">
        <v>342</v>
      </c>
      <c r="F15" s="33">
        <v>30</v>
      </c>
      <c r="G15" s="31"/>
      <c r="H15" s="31"/>
      <c r="I15" s="31"/>
      <c r="J15" s="31"/>
      <c r="K15" s="31"/>
      <c r="L15" s="6">
        <f t="shared" si="1"/>
        <v>-507.56756756756761</v>
      </c>
      <c r="M15" s="6">
        <f t="shared" si="2"/>
        <v>95.921254096125509</v>
      </c>
      <c r="N15" s="31"/>
      <c r="O15" s="31"/>
      <c r="P15" s="31"/>
      <c r="Q15" s="31"/>
      <c r="S15" s="6">
        <f>DAYS360($B$5,T15)</f>
        <v>148</v>
      </c>
      <c r="T15" s="5">
        <v>41422</v>
      </c>
      <c r="U15" s="6" t="s">
        <v>340</v>
      </c>
      <c r="V15" s="33">
        <v>180</v>
      </c>
      <c r="W15" s="6">
        <f>COUNT(V15:V15)</f>
        <v>1</v>
      </c>
      <c r="X15" s="6">
        <f>SUM(V15:V15)</f>
        <v>180</v>
      </c>
      <c r="Y15" s="6">
        <f>(518400-X15)/W15</f>
        <v>518220</v>
      </c>
      <c r="Z15" s="6">
        <f>INT(Y15/60/24)</f>
        <v>359</v>
      </c>
      <c r="AA15" s="6">
        <f>X15/W15</f>
        <v>180</v>
      </c>
      <c r="AB15" s="6">
        <f>X15-V16</f>
        <v>0</v>
      </c>
      <c r="AC15" s="33">
        <f>SQRT((AB15*AB15)/COUNT(S15))</f>
        <v>0</v>
      </c>
      <c r="AD15" s="6">
        <f>W15/365</f>
        <v>2.7397260273972603E-3</v>
      </c>
      <c r="AE15" s="6">
        <f>AD15*EXP(-AD15*365)</f>
        <v>1.0078888799217598E-3</v>
      </c>
      <c r="AF15" s="6">
        <f>1-EXP(-AD15*365)</f>
        <v>0.63212055882855767</v>
      </c>
      <c r="AG15" s="6">
        <f>EXP(-AD15*365)</f>
        <v>0.36787944117144233</v>
      </c>
    </row>
    <row r="16" spans="2:33" x14ac:dyDescent="0.25">
      <c r="B16" s="6">
        <f t="shared" si="0"/>
        <v>64</v>
      </c>
      <c r="C16" s="10">
        <v>1</v>
      </c>
      <c r="D16" s="5">
        <v>41337</v>
      </c>
      <c r="E16" s="6" t="s">
        <v>342</v>
      </c>
      <c r="F16" s="33">
        <f>24*60+5*60</f>
        <v>1740</v>
      </c>
      <c r="G16" s="31"/>
      <c r="H16" s="31"/>
      <c r="I16" s="31"/>
      <c r="J16" s="31"/>
      <c r="K16" s="31"/>
      <c r="L16" s="6">
        <f t="shared" si="1"/>
        <v>1202.4324324324325</v>
      </c>
      <c r="M16" s="6">
        <f t="shared" si="2"/>
        <v>231.40822951573378</v>
      </c>
      <c r="N16" s="31"/>
      <c r="O16" s="31"/>
      <c r="P16" s="31"/>
      <c r="Q16" s="31"/>
      <c r="S16" s="31"/>
      <c r="T16" s="31"/>
      <c r="U16" s="43" t="s">
        <v>235</v>
      </c>
      <c r="V16" s="6">
        <f>AVERAGE(V15)</f>
        <v>180</v>
      </c>
      <c r="W16" s="31"/>
      <c r="X16" s="31"/>
      <c r="Y16" s="31"/>
      <c r="Z16" s="31"/>
      <c r="AA16" s="31"/>
      <c r="AB16" s="31"/>
      <c r="AC16" s="31"/>
      <c r="AD16" s="31"/>
      <c r="AE16" s="31"/>
      <c r="AF16" s="31"/>
      <c r="AG16" s="31"/>
    </row>
    <row r="17" spans="2:33" x14ac:dyDescent="0.25">
      <c r="B17" s="6">
        <f t="shared" si="0"/>
        <v>69</v>
      </c>
      <c r="C17" s="10">
        <v>1</v>
      </c>
      <c r="D17" s="5">
        <v>41342</v>
      </c>
      <c r="E17" s="6" t="s">
        <v>342</v>
      </c>
      <c r="F17" s="33">
        <v>60</v>
      </c>
      <c r="G17" s="31"/>
      <c r="H17" s="31"/>
      <c r="I17" s="31"/>
      <c r="J17" s="31"/>
      <c r="K17" s="31"/>
      <c r="L17" s="6">
        <f t="shared" si="1"/>
        <v>-477.56756756756761</v>
      </c>
      <c r="M17" s="6">
        <f t="shared" si="2"/>
        <v>93.658705618694924</v>
      </c>
      <c r="N17" s="31"/>
      <c r="O17" s="31"/>
      <c r="P17" s="31"/>
      <c r="Q17" s="31"/>
      <c r="S17" s="6">
        <f>DAYS360($B$5,T17)</f>
        <v>74</v>
      </c>
      <c r="T17" s="5">
        <v>41347</v>
      </c>
      <c r="U17" s="6" t="s">
        <v>352</v>
      </c>
      <c r="V17" s="33">
        <f>12*60</f>
        <v>720</v>
      </c>
      <c r="W17" s="6">
        <f>COUNT(V17:V17)</f>
        <v>1</v>
      </c>
      <c r="X17" s="6">
        <f>SUM(V17:V17)</f>
        <v>720</v>
      </c>
      <c r="Y17" s="6">
        <f>(518400-X17)/W17</f>
        <v>517680</v>
      </c>
      <c r="Z17" s="6">
        <f>INT(Y17/60/24)</f>
        <v>359</v>
      </c>
      <c r="AA17" s="6">
        <f>X17/W17</f>
        <v>720</v>
      </c>
      <c r="AB17" s="6">
        <f>X17-V18</f>
        <v>0</v>
      </c>
      <c r="AC17" s="33">
        <f>SQRT((AB17*AB17)/COUNT(S17))</f>
        <v>0</v>
      </c>
      <c r="AD17" s="6">
        <f>W17/365</f>
        <v>2.7397260273972603E-3</v>
      </c>
      <c r="AE17" s="6">
        <f>AD17*EXP(-AD17*365)</f>
        <v>1.0078888799217598E-3</v>
      </c>
      <c r="AF17" s="6">
        <f>1-EXP(-AD17*365)</f>
        <v>0.63212055882855767</v>
      </c>
      <c r="AG17" s="6">
        <f>EXP(-AD17*365)</f>
        <v>0.36787944117144233</v>
      </c>
    </row>
    <row r="18" spans="2:33" x14ac:dyDescent="0.25">
      <c r="B18" s="6">
        <f t="shared" si="0"/>
        <v>73</v>
      </c>
      <c r="C18" s="10">
        <v>1</v>
      </c>
      <c r="D18" s="5">
        <v>41346</v>
      </c>
      <c r="E18" s="6" t="s">
        <v>342</v>
      </c>
      <c r="F18" s="33">
        <v>120</v>
      </c>
      <c r="G18" s="31"/>
      <c r="H18" s="31"/>
      <c r="I18" s="31"/>
      <c r="J18" s="31"/>
      <c r="K18" s="31"/>
      <c r="L18" s="6">
        <f t="shared" si="1"/>
        <v>-417.56756756756761</v>
      </c>
      <c r="M18" s="6">
        <f t="shared" si="2"/>
        <v>83.51351351351353</v>
      </c>
      <c r="N18" s="31"/>
      <c r="O18" s="31"/>
      <c r="P18" s="31"/>
      <c r="Q18" s="31"/>
      <c r="S18" s="31"/>
      <c r="T18" s="31"/>
      <c r="U18" s="43" t="s">
        <v>235</v>
      </c>
      <c r="V18" s="6">
        <f>AVERAGE(V17)</f>
        <v>720</v>
      </c>
      <c r="W18" s="31"/>
      <c r="X18" s="31"/>
      <c r="Y18" s="31"/>
      <c r="Z18" s="31"/>
      <c r="AA18" s="31"/>
      <c r="AB18" s="31"/>
      <c r="AC18" s="31"/>
      <c r="AD18" s="31"/>
      <c r="AE18" s="31"/>
      <c r="AF18" s="31"/>
      <c r="AG18" s="31"/>
    </row>
    <row r="19" spans="2:33" x14ac:dyDescent="0.25">
      <c r="B19" s="6">
        <f t="shared" si="0"/>
        <v>74</v>
      </c>
      <c r="C19" s="10">
        <v>1</v>
      </c>
      <c r="D19" s="5">
        <v>41347</v>
      </c>
      <c r="E19" s="6" t="s">
        <v>342</v>
      </c>
      <c r="F19" s="33">
        <f>12*60</f>
        <v>720</v>
      </c>
      <c r="G19" s="31"/>
      <c r="H19" s="31"/>
      <c r="I19" s="31"/>
      <c r="J19" s="31"/>
      <c r="K19" s="31"/>
      <c r="L19" s="6">
        <f t="shared" si="1"/>
        <v>182.43243243243239</v>
      </c>
      <c r="M19" s="6">
        <f t="shared" si="2"/>
        <v>37.238864332852359</v>
      </c>
      <c r="N19" s="31"/>
      <c r="O19" s="31"/>
      <c r="P19" s="31"/>
      <c r="Q19" s="31"/>
      <c r="S19" s="6">
        <f t="shared" ref="S19:S28" si="4">DAYS360($B$5,T19)</f>
        <v>23</v>
      </c>
      <c r="T19" s="5">
        <v>41297</v>
      </c>
      <c r="U19" s="6" t="s">
        <v>347</v>
      </c>
      <c r="V19" s="33">
        <v>30</v>
      </c>
      <c r="W19" s="31"/>
      <c r="X19" s="31"/>
      <c r="Y19" s="31"/>
      <c r="Z19" s="31"/>
      <c r="AA19" s="31"/>
      <c r="AB19" s="31"/>
      <c r="AC19" s="31"/>
      <c r="AD19" s="31"/>
      <c r="AE19" s="31"/>
      <c r="AF19" s="31"/>
      <c r="AG19" s="31"/>
    </row>
    <row r="20" spans="2:33" x14ac:dyDescent="0.25">
      <c r="B20" s="6">
        <f t="shared" si="0"/>
        <v>87</v>
      </c>
      <c r="C20" s="10">
        <v>1</v>
      </c>
      <c r="D20" s="5">
        <v>41360</v>
      </c>
      <c r="E20" s="6" t="s">
        <v>342</v>
      </c>
      <c r="F20" s="33">
        <v>120</v>
      </c>
      <c r="G20" s="31"/>
      <c r="H20" s="31"/>
      <c r="I20" s="31"/>
      <c r="J20" s="31"/>
      <c r="K20" s="31"/>
      <c r="L20" s="6">
        <f t="shared" si="1"/>
        <v>-417.56756756756761</v>
      </c>
      <c r="M20" s="6">
        <f t="shared" si="2"/>
        <v>87.068856680589334</v>
      </c>
      <c r="N20" s="31"/>
      <c r="O20" s="31"/>
      <c r="P20" s="31"/>
      <c r="Q20" s="31"/>
      <c r="S20" s="6">
        <f t="shared" si="4"/>
        <v>73</v>
      </c>
      <c r="T20" s="5">
        <v>41346</v>
      </c>
      <c r="U20" s="6" t="s">
        <v>347</v>
      </c>
      <c r="V20" s="33">
        <v>120</v>
      </c>
      <c r="W20" s="31"/>
      <c r="X20" s="31"/>
      <c r="Y20" s="31"/>
      <c r="Z20" s="31"/>
      <c r="AA20" s="31"/>
      <c r="AB20" s="31"/>
      <c r="AC20" s="31"/>
      <c r="AD20" s="31"/>
      <c r="AE20" s="31"/>
      <c r="AF20" s="31"/>
      <c r="AG20" s="31"/>
    </row>
    <row r="21" spans="2:33" x14ac:dyDescent="0.25">
      <c r="B21" s="6">
        <f t="shared" si="0"/>
        <v>88</v>
      </c>
      <c r="C21" s="10">
        <v>1</v>
      </c>
      <c r="D21" s="5">
        <v>41361</v>
      </c>
      <c r="E21" s="6" t="s">
        <v>342</v>
      </c>
      <c r="F21" s="33">
        <v>60</v>
      </c>
      <c r="G21" s="31"/>
      <c r="H21" s="31"/>
      <c r="I21" s="31"/>
      <c r="J21" s="31"/>
      <c r="K21" s="31"/>
      <c r="L21" s="6">
        <f t="shared" si="1"/>
        <v>-477.56756756756761</v>
      </c>
      <c r="M21" s="6">
        <f t="shared" si="2"/>
        <v>101.81774751361181</v>
      </c>
      <c r="N21" s="31"/>
      <c r="O21" s="31"/>
      <c r="P21" s="31"/>
      <c r="Q21" s="31"/>
      <c r="S21" s="6">
        <f t="shared" si="4"/>
        <v>88</v>
      </c>
      <c r="T21" s="5">
        <v>41361</v>
      </c>
      <c r="U21" s="6" t="s">
        <v>347</v>
      </c>
      <c r="V21" s="33">
        <v>60</v>
      </c>
      <c r="W21" s="31"/>
      <c r="X21" s="31"/>
      <c r="Y21" s="31"/>
      <c r="Z21" s="31"/>
      <c r="AA21" s="31"/>
      <c r="AB21" s="31"/>
      <c r="AC21" s="31"/>
      <c r="AD21" s="31"/>
      <c r="AE21" s="31"/>
      <c r="AF21" s="31"/>
      <c r="AG21" s="31"/>
    </row>
    <row r="22" spans="2:33" x14ac:dyDescent="0.25">
      <c r="B22" s="6">
        <f t="shared" si="0"/>
        <v>91</v>
      </c>
      <c r="C22" s="10">
        <v>1</v>
      </c>
      <c r="D22" s="5">
        <v>41365</v>
      </c>
      <c r="E22" s="6" t="s">
        <v>342</v>
      </c>
      <c r="F22" s="33">
        <v>60</v>
      </c>
      <c r="G22" s="31"/>
      <c r="H22" s="31"/>
      <c r="I22" s="31"/>
      <c r="J22" s="31"/>
      <c r="K22" s="31"/>
      <c r="L22" s="6">
        <f t="shared" si="1"/>
        <v>-477.56756756756761</v>
      </c>
      <c r="M22" s="6">
        <f t="shared" si="2"/>
        <v>104.21378703972934</v>
      </c>
      <c r="N22" s="31"/>
      <c r="O22" s="31"/>
      <c r="P22" s="31"/>
      <c r="Q22" s="31"/>
      <c r="S22" s="6">
        <f t="shared" si="4"/>
        <v>91</v>
      </c>
      <c r="T22" s="5">
        <v>41365</v>
      </c>
      <c r="U22" s="6" t="s">
        <v>347</v>
      </c>
      <c r="V22" s="33">
        <v>60</v>
      </c>
      <c r="W22" s="31"/>
      <c r="X22" s="31"/>
      <c r="Y22" s="31"/>
      <c r="Z22" s="31"/>
      <c r="AA22" s="31"/>
      <c r="AB22" s="31"/>
      <c r="AC22" s="31"/>
      <c r="AD22" s="31"/>
      <c r="AE22" s="31"/>
      <c r="AF22" s="31"/>
      <c r="AG22" s="31"/>
    </row>
    <row r="23" spans="2:33" x14ac:dyDescent="0.25">
      <c r="B23" s="6">
        <f t="shared" ref="B23:B42" si="5">DAYS360($B$5,D23)</f>
        <v>191</v>
      </c>
      <c r="C23" s="10">
        <v>1</v>
      </c>
      <c r="D23" s="5">
        <v>41466</v>
      </c>
      <c r="E23" s="6" t="s">
        <v>342</v>
      </c>
      <c r="F23" s="33">
        <v>120</v>
      </c>
      <c r="G23" s="31"/>
      <c r="H23" s="31"/>
      <c r="I23" s="31"/>
      <c r="J23" s="31"/>
      <c r="K23" s="31"/>
      <c r="L23" s="6">
        <f t="shared" si="1"/>
        <v>-417.56756756756761</v>
      </c>
      <c r="M23" s="6">
        <f t="shared" ref="M23:M42" si="6">SQRT((L23*L23)/COUNT(B23:B65))</f>
        <v>93.370946628031774</v>
      </c>
      <c r="N23" s="31"/>
      <c r="O23" s="31"/>
      <c r="P23" s="31"/>
      <c r="Q23" s="31"/>
      <c r="S23" s="6">
        <f t="shared" si="4"/>
        <v>236</v>
      </c>
      <c r="T23" s="5">
        <v>41512</v>
      </c>
      <c r="U23" s="6" t="s">
        <v>347</v>
      </c>
      <c r="V23" s="33">
        <v>120</v>
      </c>
      <c r="W23" s="31"/>
      <c r="X23" s="31"/>
      <c r="Y23" s="31"/>
      <c r="Z23" s="31"/>
      <c r="AA23" s="31"/>
      <c r="AB23" s="31"/>
      <c r="AC23" s="31"/>
      <c r="AD23" s="31"/>
      <c r="AE23" s="31"/>
      <c r="AF23" s="31"/>
      <c r="AG23" s="31"/>
    </row>
    <row r="24" spans="2:33" x14ac:dyDescent="0.25">
      <c r="B24" s="6">
        <f t="shared" si="5"/>
        <v>195</v>
      </c>
      <c r="C24" s="10">
        <v>1</v>
      </c>
      <c r="D24" s="5">
        <v>41470</v>
      </c>
      <c r="E24" s="6" t="s">
        <v>342</v>
      </c>
      <c r="F24" s="33">
        <v>120</v>
      </c>
      <c r="G24" s="31"/>
      <c r="H24" s="31"/>
      <c r="I24" s="31"/>
      <c r="J24" s="31"/>
      <c r="K24" s="31"/>
      <c r="L24" s="6">
        <f t="shared" si="1"/>
        <v>-417.56756756756761</v>
      </c>
      <c r="M24" s="6">
        <f t="shared" si="6"/>
        <v>95.79656995405891</v>
      </c>
      <c r="N24" s="31"/>
      <c r="O24" s="31"/>
      <c r="P24" s="31"/>
      <c r="Q24" s="31"/>
      <c r="S24" s="6">
        <f t="shared" si="4"/>
        <v>284</v>
      </c>
      <c r="T24" s="5">
        <v>41561</v>
      </c>
      <c r="U24" s="6" t="s">
        <v>347</v>
      </c>
      <c r="V24" s="33">
        <v>60</v>
      </c>
      <c r="W24" s="31"/>
      <c r="X24" s="31"/>
      <c r="Y24" s="31"/>
      <c r="Z24" s="31"/>
      <c r="AA24" s="31"/>
      <c r="AB24" s="31"/>
      <c r="AC24" s="31"/>
      <c r="AD24" s="31"/>
      <c r="AE24" s="31"/>
      <c r="AF24" s="31"/>
      <c r="AG24" s="31"/>
    </row>
    <row r="25" spans="2:33" x14ac:dyDescent="0.25">
      <c r="B25" s="6">
        <f t="shared" si="5"/>
        <v>210</v>
      </c>
      <c r="C25" s="10">
        <v>1</v>
      </c>
      <c r="D25" s="5">
        <v>41485</v>
      </c>
      <c r="E25" s="6" t="s">
        <v>342</v>
      </c>
      <c r="F25" s="33">
        <v>180</v>
      </c>
      <c r="G25" s="31"/>
      <c r="H25" s="31"/>
      <c r="I25" s="31"/>
      <c r="J25" s="31"/>
      <c r="K25" s="31"/>
      <c r="L25" s="6">
        <f t="shared" si="1"/>
        <v>-357.56756756756761</v>
      </c>
      <c r="M25" s="6">
        <f t="shared" si="6"/>
        <v>84.279483919802018</v>
      </c>
      <c r="N25" s="31"/>
      <c r="O25" s="31"/>
      <c r="P25" s="31"/>
      <c r="Q25" s="31"/>
      <c r="S25" s="6">
        <f t="shared" si="4"/>
        <v>289</v>
      </c>
      <c r="T25" s="5">
        <v>41566</v>
      </c>
      <c r="U25" s="6" t="s">
        <v>347</v>
      </c>
      <c r="V25" s="33">
        <v>150</v>
      </c>
      <c r="W25" s="31"/>
      <c r="X25" s="31"/>
      <c r="Y25" s="31"/>
      <c r="Z25" s="31"/>
      <c r="AA25" s="31"/>
      <c r="AB25" s="31"/>
      <c r="AC25" s="31"/>
      <c r="AD25" s="31"/>
      <c r="AE25" s="31"/>
      <c r="AF25" s="31"/>
      <c r="AG25" s="31"/>
    </row>
    <row r="26" spans="2:33" x14ac:dyDescent="0.25">
      <c r="B26" s="6">
        <f t="shared" si="5"/>
        <v>236</v>
      </c>
      <c r="C26" s="10">
        <v>1</v>
      </c>
      <c r="D26" s="5">
        <v>41512</v>
      </c>
      <c r="E26" s="6" t="s">
        <v>342</v>
      </c>
      <c r="F26" s="33">
        <v>120</v>
      </c>
      <c r="G26" s="31"/>
      <c r="H26" s="31"/>
      <c r="I26" s="31"/>
      <c r="J26" s="31"/>
      <c r="K26" s="31"/>
      <c r="L26" s="6">
        <f t="shared" si="1"/>
        <v>-417.56756756756761</v>
      </c>
      <c r="M26" s="6">
        <f t="shared" si="6"/>
        <v>101.27501099490121</v>
      </c>
      <c r="N26" s="31"/>
      <c r="O26" s="31"/>
      <c r="P26" s="31"/>
      <c r="Q26" s="31"/>
      <c r="S26" s="6">
        <f t="shared" si="4"/>
        <v>290</v>
      </c>
      <c r="T26" s="5">
        <v>41567</v>
      </c>
      <c r="U26" s="6" t="s">
        <v>347</v>
      </c>
      <c r="V26" s="33">
        <v>120</v>
      </c>
      <c r="W26" s="31"/>
      <c r="X26" s="31"/>
      <c r="Y26" s="31"/>
      <c r="Z26" s="31"/>
      <c r="AA26" s="31"/>
      <c r="AB26" s="31"/>
      <c r="AC26" s="31"/>
      <c r="AD26" s="31"/>
      <c r="AE26" s="31"/>
      <c r="AF26" s="31"/>
      <c r="AG26" s="31"/>
    </row>
    <row r="27" spans="2:33" x14ac:dyDescent="0.25">
      <c r="B27" s="6">
        <f t="shared" si="5"/>
        <v>284</v>
      </c>
      <c r="C27" s="10">
        <v>1</v>
      </c>
      <c r="D27" s="5">
        <v>41561</v>
      </c>
      <c r="E27" s="6" t="s">
        <v>342</v>
      </c>
      <c r="F27" s="33">
        <v>60</v>
      </c>
      <c r="G27" s="31"/>
      <c r="H27" s="31"/>
      <c r="I27" s="31"/>
      <c r="J27" s="31"/>
      <c r="K27" s="31"/>
      <c r="L27" s="6">
        <f t="shared" si="1"/>
        <v>-477.56756756756761</v>
      </c>
      <c r="M27" s="6">
        <f t="shared" si="6"/>
        <v>119.3918918918919</v>
      </c>
      <c r="N27" s="31"/>
      <c r="O27" s="31"/>
      <c r="P27" s="31"/>
      <c r="Q27" s="31"/>
      <c r="S27" s="6">
        <f t="shared" si="4"/>
        <v>320</v>
      </c>
      <c r="T27" s="5">
        <v>41598</v>
      </c>
      <c r="U27" s="6" t="s">
        <v>347</v>
      </c>
      <c r="V27" s="33">
        <v>90</v>
      </c>
      <c r="W27" s="31"/>
      <c r="X27" s="31"/>
      <c r="Y27" s="31"/>
      <c r="Z27" s="31"/>
      <c r="AA27" s="31"/>
      <c r="AB27" s="31"/>
      <c r="AC27" s="31"/>
      <c r="AD27" s="31"/>
      <c r="AE27" s="31"/>
      <c r="AF27" s="31"/>
      <c r="AG27" s="31"/>
    </row>
    <row r="28" spans="2:33" x14ac:dyDescent="0.25">
      <c r="B28" s="6">
        <f t="shared" si="5"/>
        <v>289</v>
      </c>
      <c r="C28" s="10">
        <v>1</v>
      </c>
      <c r="D28" s="5">
        <v>41566</v>
      </c>
      <c r="E28" s="6" t="s">
        <v>342</v>
      </c>
      <c r="F28" s="33">
        <v>150</v>
      </c>
      <c r="G28" s="31"/>
      <c r="H28" s="31"/>
      <c r="I28" s="31"/>
      <c r="J28" s="31"/>
      <c r="K28" s="31"/>
      <c r="L28" s="6">
        <f t="shared" si="1"/>
        <v>-387.56756756756761</v>
      </c>
      <c r="M28" s="6">
        <f t="shared" si="6"/>
        <v>100.06951564795381</v>
      </c>
      <c r="N28" s="31"/>
      <c r="O28" s="31"/>
      <c r="P28" s="31"/>
      <c r="Q28" s="31"/>
      <c r="S28" s="6">
        <f t="shared" si="4"/>
        <v>339</v>
      </c>
      <c r="T28" s="5">
        <v>41617</v>
      </c>
      <c r="U28" s="6" t="s">
        <v>347</v>
      </c>
      <c r="V28" s="33">
        <v>30</v>
      </c>
      <c r="W28" s="6">
        <f>COUNT(V19:V28)</f>
        <v>10</v>
      </c>
      <c r="X28" s="6">
        <f>SUM(V19:V28)</f>
        <v>840</v>
      </c>
      <c r="Y28" s="6">
        <f>(518400-X28)/W28</f>
        <v>51756</v>
      </c>
      <c r="Z28" s="6">
        <f>INT(Y28/60/24)</f>
        <v>35</v>
      </c>
      <c r="AA28" s="6">
        <f>X28/W28</f>
        <v>84</v>
      </c>
      <c r="AB28" s="6">
        <f>X28-V29</f>
        <v>756</v>
      </c>
      <c r="AC28" s="33">
        <f>SQRT((AB28*AB28)/COUNT(S19:S28))</f>
        <v>239.06819110872948</v>
      </c>
      <c r="AD28" s="6">
        <f>W28/365</f>
        <v>2.7397260273972601E-2</v>
      </c>
      <c r="AE28" s="6">
        <f>AD28*EXP(-AD28*365)</f>
        <v>1.2438336921228726E-6</v>
      </c>
      <c r="AF28" s="6">
        <f>1-EXP(-AD28*365)</f>
        <v>0.99995460007023751</v>
      </c>
      <c r="AG28" s="6">
        <f>EXP(-AD28*365)</f>
        <v>4.5399929762484854E-5</v>
      </c>
    </row>
    <row r="29" spans="2:33" x14ac:dyDescent="0.25">
      <c r="B29" s="6">
        <f t="shared" si="5"/>
        <v>290</v>
      </c>
      <c r="C29" s="10">
        <v>1</v>
      </c>
      <c r="D29" s="5">
        <v>41567</v>
      </c>
      <c r="E29" s="6" t="s">
        <v>342</v>
      </c>
      <c r="F29" s="33">
        <v>120</v>
      </c>
      <c r="G29" s="31"/>
      <c r="H29" s="31"/>
      <c r="I29" s="31"/>
      <c r="J29" s="31"/>
      <c r="K29" s="31"/>
      <c r="L29" s="6">
        <f t="shared" si="1"/>
        <v>-417.56756756756761</v>
      </c>
      <c r="M29" s="6">
        <f t="shared" si="6"/>
        <v>111.59962669045831</v>
      </c>
      <c r="N29" s="31"/>
      <c r="O29" s="31"/>
      <c r="P29" s="31"/>
      <c r="Q29" s="31"/>
      <c r="S29" s="31"/>
      <c r="T29" s="31"/>
      <c r="U29" s="43" t="s">
        <v>235</v>
      </c>
      <c r="V29" s="6">
        <f>AVERAGE(V19:V28)</f>
        <v>84</v>
      </c>
      <c r="W29" s="31"/>
      <c r="X29" s="31"/>
      <c r="Y29" s="31"/>
      <c r="Z29" s="31"/>
      <c r="AA29" s="31"/>
      <c r="AB29" s="31"/>
      <c r="AC29" s="31"/>
      <c r="AD29" s="31"/>
      <c r="AE29" s="31"/>
      <c r="AF29" s="31"/>
      <c r="AG29" s="31"/>
    </row>
    <row r="30" spans="2:33" x14ac:dyDescent="0.25">
      <c r="B30" s="6">
        <f t="shared" si="5"/>
        <v>311</v>
      </c>
      <c r="C30" s="10">
        <v>1</v>
      </c>
      <c r="D30" s="5">
        <v>41589</v>
      </c>
      <c r="E30" s="6" t="s">
        <v>342</v>
      </c>
      <c r="F30" s="33">
        <v>240</v>
      </c>
      <c r="G30" s="31"/>
      <c r="H30" s="31"/>
      <c r="I30" s="31"/>
      <c r="J30" s="31"/>
      <c r="K30" s="31"/>
      <c r="L30" s="6">
        <f t="shared" si="1"/>
        <v>-297.56756756756761</v>
      </c>
      <c r="M30" s="6">
        <f t="shared" si="6"/>
        <v>82.530394059996937</v>
      </c>
      <c r="N30" s="31"/>
      <c r="O30" s="31"/>
      <c r="P30" s="31"/>
      <c r="Q30" s="31"/>
      <c r="S30" s="6">
        <f t="shared" ref="S30:S34" si="7">DAYS360($B$5,T30)</f>
        <v>28</v>
      </c>
      <c r="T30" s="5">
        <v>41302</v>
      </c>
      <c r="U30" s="6" t="s">
        <v>349</v>
      </c>
      <c r="V30" s="33">
        <v>60</v>
      </c>
      <c r="W30" s="31"/>
      <c r="X30" s="31"/>
      <c r="Y30" s="31"/>
      <c r="Z30" s="31"/>
      <c r="AA30" s="31"/>
      <c r="AB30" s="31"/>
      <c r="AC30" s="31"/>
      <c r="AD30" s="31"/>
      <c r="AE30" s="31"/>
      <c r="AF30" s="31"/>
      <c r="AG30" s="31"/>
    </row>
    <row r="31" spans="2:33" x14ac:dyDescent="0.25">
      <c r="B31" s="6">
        <f t="shared" si="5"/>
        <v>320</v>
      </c>
      <c r="C31" s="10">
        <v>1</v>
      </c>
      <c r="D31" s="5">
        <v>41598</v>
      </c>
      <c r="E31" s="6" t="s">
        <v>342</v>
      </c>
      <c r="F31" s="33">
        <v>90</v>
      </c>
      <c r="G31" s="31"/>
      <c r="H31" s="31"/>
      <c r="I31" s="31"/>
      <c r="J31" s="31"/>
      <c r="K31" s="31"/>
      <c r="L31" s="6">
        <f t="shared" si="1"/>
        <v>-447.56756756756761</v>
      </c>
      <c r="M31" s="6">
        <f t="shared" si="6"/>
        <v>129.20162780784059</v>
      </c>
      <c r="N31" s="31"/>
      <c r="O31" s="31"/>
      <c r="P31" s="31"/>
      <c r="Q31" s="31"/>
      <c r="S31" s="6">
        <f t="shared" si="7"/>
        <v>29</v>
      </c>
      <c r="T31" s="5">
        <v>41303</v>
      </c>
      <c r="U31" s="6" t="s">
        <v>349</v>
      </c>
      <c r="V31" s="33">
        <v>120</v>
      </c>
      <c r="W31" s="31"/>
      <c r="X31" s="31"/>
      <c r="Y31" s="31"/>
      <c r="Z31" s="31"/>
      <c r="AA31" s="31"/>
      <c r="AB31" s="31"/>
      <c r="AC31" s="31"/>
      <c r="AD31" s="31"/>
      <c r="AE31" s="31"/>
      <c r="AF31" s="31"/>
      <c r="AG31" s="31"/>
    </row>
    <row r="32" spans="2:33" x14ac:dyDescent="0.25">
      <c r="B32" s="6">
        <f t="shared" si="5"/>
        <v>325</v>
      </c>
      <c r="C32" s="10">
        <v>1</v>
      </c>
      <c r="D32" s="5">
        <v>41603</v>
      </c>
      <c r="E32" s="6" t="s">
        <v>342</v>
      </c>
      <c r="F32" s="33">
        <f>8*60</f>
        <v>480</v>
      </c>
      <c r="G32" s="31"/>
      <c r="H32" s="31"/>
      <c r="I32" s="31"/>
      <c r="J32" s="31"/>
      <c r="K32" s="31"/>
      <c r="L32" s="6">
        <f t="shared" si="1"/>
        <v>-57.567567567567608</v>
      </c>
      <c r="M32" s="6">
        <f t="shared" si="6"/>
        <v>17.357274701368567</v>
      </c>
      <c r="N32" s="31"/>
      <c r="O32" s="31"/>
      <c r="P32" s="31"/>
      <c r="Q32" s="31"/>
      <c r="S32" s="6">
        <f t="shared" si="7"/>
        <v>37</v>
      </c>
      <c r="T32" s="5">
        <v>41312</v>
      </c>
      <c r="U32" s="6" t="s">
        <v>349</v>
      </c>
      <c r="V32" s="33">
        <v>150</v>
      </c>
      <c r="W32" s="31"/>
      <c r="X32" s="31"/>
      <c r="Y32" s="31"/>
      <c r="Z32" s="31"/>
      <c r="AA32" s="31"/>
      <c r="AB32" s="31"/>
      <c r="AC32" s="31"/>
      <c r="AD32" s="31"/>
      <c r="AE32" s="31"/>
      <c r="AF32" s="31"/>
      <c r="AG32" s="31"/>
    </row>
    <row r="33" spans="2:33" x14ac:dyDescent="0.25">
      <c r="B33" s="6">
        <f t="shared" si="5"/>
        <v>339</v>
      </c>
      <c r="C33" s="10">
        <v>1</v>
      </c>
      <c r="D33" s="5">
        <v>41617</v>
      </c>
      <c r="E33" s="6" t="s">
        <v>342</v>
      </c>
      <c r="F33" s="33">
        <v>30</v>
      </c>
      <c r="G33" s="6">
        <f>COUNT(F10:F33)</f>
        <v>24</v>
      </c>
      <c r="H33" s="6">
        <f>SUM(F10:F33)</f>
        <v>5340</v>
      </c>
      <c r="I33" s="6">
        <f>(518400-H33)/G33</f>
        <v>21377.5</v>
      </c>
      <c r="J33" s="6">
        <f>INT(I33/60/24)</f>
        <v>14</v>
      </c>
      <c r="K33" s="6">
        <f>H33/G33</f>
        <v>222.5</v>
      </c>
      <c r="L33" s="6">
        <f t="shared" si="1"/>
        <v>-507.56756756756761</v>
      </c>
      <c r="M33" s="6">
        <f t="shared" si="6"/>
        <v>160.50695799449235</v>
      </c>
      <c r="N33" s="6">
        <f>G33/365</f>
        <v>6.575342465753424E-2</v>
      </c>
      <c r="O33" s="6">
        <f>N33*EXP(-N33*365)</f>
        <v>2.482280248293114E-12</v>
      </c>
      <c r="P33" s="6">
        <f>1-EXP(-N33*365)</f>
        <v>0.99999999996224864</v>
      </c>
      <c r="Q33" s="6">
        <f>EXP(-N33*365)</f>
        <v>3.7751345442791113E-11</v>
      </c>
      <c r="S33" s="6">
        <f t="shared" si="7"/>
        <v>56</v>
      </c>
      <c r="T33" s="5">
        <v>41331</v>
      </c>
      <c r="U33" s="6" t="s">
        <v>349</v>
      </c>
      <c r="V33" s="33">
        <v>30</v>
      </c>
      <c r="W33" s="31"/>
      <c r="X33" s="31"/>
      <c r="Y33" s="31"/>
      <c r="Z33" s="31"/>
      <c r="AA33" s="31"/>
      <c r="AB33" s="31"/>
      <c r="AC33" s="31"/>
      <c r="AD33" s="31"/>
      <c r="AE33" s="31"/>
      <c r="AF33" s="31"/>
      <c r="AG33" s="31"/>
    </row>
    <row r="34" spans="2:33" x14ac:dyDescent="0.25">
      <c r="B34" s="6">
        <f t="shared" si="5"/>
        <v>27</v>
      </c>
      <c r="C34" s="10">
        <v>1</v>
      </c>
      <c r="D34" s="5">
        <v>41301</v>
      </c>
      <c r="E34" s="6" t="s">
        <v>385</v>
      </c>
      <c r="F34" s="33">
        <v>60</v>
      </c>
      <c r="G34" s="31"/>
      <c r="H34" s="31"/>
      <c r="I34" s="31"/>
      <c r="J34" s="31"/>
      <c r="K34" s="31"/>
      <c r="L34" s="6">
        <f t="shared" si="1"/>
        <v>-477.56756756756761</v>
      </c>
      <c r="M34" s="6">
        <f t="shared" si="6"/>
        <v>159.18918918918919</v>
      </c>
      <c r="N34" s="31"/>
      <c r="O34" s="31"/>
      <c r="P34" s="31"/>
      <c r="Q34" s="31"/>
      <c r="S34" s="6">
        <f t="shared" si="7"/>
        <v>69</v>
      </c>
      <c r="T34" s="5">
        <v>41342</v>
      </c>
      <c r="U34" s="6" t="s">
        <v>349</v>
      </c>
      <c r="V34" s="33">
        <v>60</v>
      </c>
      <c r="W34" s="31"/>
      <c r="X34" s="31"/>
      <c r="Y34" s="31"/>
      <c r="Z34" s="31"/>
      <c r="AA34" s="31"/>
      <c r="AB34" s="31"/>
      <c r="AC34" s="31"/>
      <c r="AD34" s="31"/>
      <c r="AE34" s="31"/>
      <c r="AF34" s="31"/>
      <c r="AG34" s="31"/>
    </row>
    <row r="35" spans="2:33" x14ac:dyDescent="0.25">
      <c r="B35" s="6">
        <f t="shared" si="5"/>
        <v>73</v>
      </c>
      <c r="C35" s="10">
        <v>1</v>
      </c>
      <c r="D35" s="5">
        <v>41346</v>
      </c>
      <c r="E35" s="6" t="s">
        <v>385</v>
      </c>
      <c r="F35" s="33">
        <v>120</v>
      </c>
      <c r="G35" s="31"/>
      <c r="H35" s="31"/>
      <c r="I35" s="31"/>
      <c r="J35" s="31"/>
      <c r="K35" s="31"/>
      <c r="L35" s="6">
        <f t="shared" si="1"/>
        <v>-417.56756756756761</v>
      </c>
      <c r="M35" s="6">
        <f t="shared" si="6"/>
        <v>147.63242931529948</v>
      </c>
      <c r="N35" s="31"/>
      <c r="O35" s="31"/>
      <c r="P35" s="31"/>
      <c r="Q35" s="31"/>
      <c r="S35" s="6">
        <f>DAYS360($B$5,T35)</f>
        <v>191</v>
      </c>
      <c r="T35" s="5">
        <v>41466</v>
      </c>
      <c r="U35" s="6" t="s">
        <v>349</v>
      </c>
      <c r="V35" s="33">
        <v>120</v>
      </c>
      <c r="W35" s="31"/>
      <c r="X35" s="31"/>
      <c r="Y35" s="31"/>
      <c r="Z35" s="31"/>
      <c r="AA35" s="31"/>
      <c r="AB35" s="31"/>
      <c r="AC35" s="31"/>
      <c r="AD35" s="31"/>
      <c r="AE35" s="31"/>
      <c r="AF35" s="31"/>
      <c r="AG35" s="31"/>
    </row>
    <row r="36" spans="2:33" x14ac:dyDescent="0.25">
      <c r="B36" s="6">
        <f t="shared" si="5"/>
        <v>137</v>
      </c>
      <c r="C36" s="10">
        <v>1</v>
      </c>
      <c r="D36" s="5">
        <v>41411</v>
      </c>
      <c r="E36" s="6" t="s">
        <v>385</v>
      </c>
      <c r="F36" s="33">
        <f>26*60</f>
        <v>1560</v>
      </c>
      <c r="G36" s="31"/>
      <c r="H36" s="31"/>
      <c r="I36" s="31"/>
      <c r="J36" s="31"/>
      <c r="K36" s="31"/>
      <c r="L36" s="6">
        <f t="shared" si="1"/>
        <v>1022.4324324324324</v>
      </c>
      <c r="M36" s="6">
        <f t="shared" si="6"/>
        <v>386.44313551186661</v>
      </c>
      <c r="N36" s="31"/>
      <c r="O36" s="31"/>
      <c r="P36" s="31"/>
      <c r="Q36" s="31"/>
      <c r="S36" s="6">
        <f>DAYS360($B$5,T36)</f>
        <v>195</v>
      </c>
      <c r="T36" s="5">
        <v>41470</v>
      </c>
      <c r="U36" s="6" t="s">
        <v>349</v>
      </c>
      <c r="V36" s="33">
        <v>120</v>
      </c>
      <c r="W36" s="6">
        <f>COUNT(V30:V36)</f>
        <v>7</v>
      </c>
      <c r="X36" s="6">
        <f>SUM(V30:V36)</f>
        <v>660</v>
      </c>
      <c r="Y36" s="6">
        <f>(518400-X36)/W36</f>
        <v>73962.857142857145</v>
      </c>
      <c r="Z36" s="6">
        <f>INT(Y36/60/24)</f>
        <v>51</v>
      </c>
      <c r="AA36" s="6">
        <f>X36/W36</f>
        <v>94.285714285714292</v>
      </c>
      <c r="AB36" s="6">
        <f>X36-V37</f>
        <v>565.71428571428567</v>
      </c>
      <c r="AC36" s="33">
        <f>SQRT((AB36*AB36)/COUNT(S30:S36))</f>
        <v>213.81990187379139</v>
      </c>
      <c r="AD36" s="6">
        <f>W36/365</f>
        <v>1.9178082191780823E-2</v>
      </c>
      <c r="AE36" s="6">
        <f>AD36*EXP(-AD36*365)</f>
        <v>1.7488147284607161E-5</v>
      </c>
      <c r="AF36" s="6">
        <f>1-EXP(-AD36*365)</f>
        <v>0.99908811803444553</v>
      </c>
      <c r="AG36" s="6">
        <f>EXP(-AD36*365)</f>
        <v>9.1188196555451624E-4</v>
      </c>
    </row>
    <row r="37" spans="2:33" x14ac:dyDescent="0.25">
      <c r="B37" s="6">
        <f t="shared" si="5"/>
        <v>266</v>
      </c>
      <c r="C37" s="10">
        <v>1</v>
      </c>
      <c r="D37" s="5">
        <v>41543</v>
      </c>
      <c r="E37" s="6" t="s">
        <v>385</v>
      </c>
      <c r="F37" s="33">
        <v>30</v>
      </c>
      <c r="G37" s="31"/>
      <c r="H37" s="31"/>
      <c r="I37" s="31"/>
      <c r="J37" s="31"/>
      <c r="K37" s="31"/>
      <c r="L37" s="6">
        <f t="shared" si="1"/>
        <v>-507.56756756756761</v>
      </c>
      <c r="M37" s="6">
        <f t="shared" si="6"/>
        <v>207.21359175436075</v>
      </c>
      <c r="N37" s="31"/>
      <c r="O37" s="31"/>
      <c r="P37" s="31"/>
      <c r="Q37" s="31"/>
      <c r="S37" s="31"/>
      <c r="T37" s="31"/>
      <c r="U37" s="43" t="s">
        <v>235</v>
      </c>
      <c r="V37" s="6">
        <f>AVERAGE(V30:V36)</f>
        <v>94.285714285714292</v>
      </c>
      <c r="W37" s="31"/>
      <c r="X37" s="31"/>
      <c r="Y37" s="31"/>
      <c r="Z37" s="31"/>
      <c r="AA37" s="31"/>
      <c r="AB37" s="31"/>
      <c r="AC37" s="31"/>
      <c r="AD37" s="31"/>
      <c r="AE37" s="31"/>
      <c r="AF37" s="31"/>
      <c r="AG37" s="31"/>
    </row>
    <row r="38" spans="2:33" x14ac:dyDescent="0.25">
      <c r="B38" s="6">
        <f t="shared" si="5"/>
        <v>277</v>
      </c>
      <c r="C38" s="10">
        <v>1</v>
      </c>
      <c r="D38" s="5">
        <v>41554</v>
      </c>
      <c r="E38" s="6" t="s">
        <v>385</v>
      </c>
      <c r="F38" s="33">
        <v>60</v>
      </c>
      <c r="G38" s="6">
        <f>COUNT(F34:F38)</f>
        <v>5</v>
      </c>
      <c r="H38" s="6">
        <f>SUM(F34:F38)</f>
        <v>1830</v>
      </c>
      <c r="I38" s="6">
        <f>(518400-H38)/G38</f>
        <v>103314</v>
      </c>
      <c r="J38" s="6">
        <f>INT(I38/60/24)</f>
        <v>71</v>
      </c>
      <c r="K38" s="6">
        <f>H38/G38</f>
        <v>366</v>
      </c>
      <c r="L38" s="6">
        <f t="shared" si="1"/>
        <v>-477.56756756756761</v>
      </c>
      <c r="M38" s="6">
        <f t="shared" si="6"/>
        <v>213.57470898606101</v>
      </c>
      <c r="N38" s="6">
        <f>G38/365</f>
        <v>1.3698630136986301E-2</v>
      </c>
      <c r="O38" s="6">
        <f>N38*EXP(-N38*365)</f>
        <v>9.2300643823088586E-5</v>
      </c>
      <c r="P38" s="6">
        <f>1-EXP(-N38*365)</f>
        <v>0.99326205300091452</v>
      </c>
      <c r="Q38" s="6">
        <f>EXP(-N38*365)</f>
        <v>6.737946999085467E-3</v>
      </c>
      <c r="S38" s="6">
        <f>DAYS360($B$5,T38)</f>
        <v>25</v>
      </c>
      <c r="T38" s="5">
        <v>41299</v>
      </c>
      <c r="U38" s="6" t="s">
        <v>348</v>
      </c>
      <c r="V38" s="33">
        <v>360</v>
      </c>
      <c r="W38" s="6">
        <f>COUNT(V38:V38)</f>
        <v>1</v>
      </c>
      <c r="X38" s="6">
        <f>SUM(V38:V38)</f>
        <v>360</v>
      </c>
      <c r="Y38" s="6">
        <f>(518400-X38)/W38</f>
        <v>518040</v>
      </c>
      <c r="Z38" s="6">
        <f>INT(Y38/60/24)</f>
        <v>359</v>
      </c>
      <c r="AA38" s="6">
        <f>X38/W38</f>
        <v>360</v>
      </c>
      <c r="AB38" s="6">
        <f>X38-V39</f>
        <v>0</v>
      </c>
      <c r="AC38" s="33">
        <f>SQRT((AB38*AB38)/COUNT(S38))</f>
        <v>0</v>
      </c>
      <c r="AD38" s="6">
        <f>W38/365</f>
        <v>2.7397260273972603E-3</v>
      </c>
      <c r="AE38" s="6">
        <f>AD38*EXP(-AD38*365)</f>
        <v>1.0078888799217598E-3</v>
      </c>
      <c r="AF38" s="6">
        <f>1-EXP(-AD38*365)</f>
        <v>0.63212055882855767</v>
      </c>
      <c r="AG38" s="6">
        <f>EXP(-AD38*365)</f>
        <v>0.36787944117144233</v>
      </c>
    </row>
    <row r="39" spans="2:33" x14ac:dyDescent="0.25">
      <c r="B39" s="6">
        <f t="shared" si="5"/>
        <v>61</v>
      </c>
      <c r="C39" s="10">
        <v>1</v>
      </c>
      <c r="D39" s="5">
        <v>41334</v>
      </c>
      <c r="E39" s="6" t="s">
        <v>370</v>
      </c>
      <c r="F39" s="33">
        <f>9*60+30</f>
        <v>570</v>
      </c>
      <c r="G39" s="31"/>
      <c r="H39" s="31"/>
      <c r="I39" s="31"/>
      <c r="J39" s="31"/>
      <c r="K39" s="31"/>
      <c r="L39" s="6">
        <f t="shared" si="1"/>
        <v>32.432432432432392</v>
      </c>
      <c r="M39" s="6">
        <f t="shared" si="6"/>
        <v>16.216216216216196</v>
      </c>
      <c r="N39" s="31"/>
      <c r="O39" s="31"/>
      <c r="P39" s="31"/>
      <c r="Q39" s="31"/>
      <c r="S39" s="31"/>
      <c r="T39" s="31"/>
      <c r="U39" s="43" t="s">
        <v>235</v>
      </c>
      <c r="V39" s="6">
        <f>AVERAGE(V38)</f>
        <v>360</v>
      </c>
      <c r="W39" s="31"/>
      <c r="X39" s="31"/>
      <c r="Y39" s="31"/>
      <c r="Z39" s="31"/>
      <c r="AA39" s="31"/>
      <c r="AB39" s="31"/>
      <c r="AC39" s="31"/>
      <c r="AD39" s="31"/>
      <c r="AE39" s="31"/>
      <c r="AF39" s="31"/>
      <c r="AG39" s="31"/>
    </row>
    <row r="40" spans="2:33" x14ac:dyDescent="0.25">
      <c r="B40" s="6">
        <f t="shared" si="5"/>
        <v>107</v>
      </c>
      <c r="C40" s="10">
        <v>1</v>
      </c>
      <c r="D40" s="5">
        <v>41381</v>
      </c>
      <c r="E40" s="6" t="s">
        <v>370</v>
      </c>
      <c r="F40" s="33">
        <v>360</v>
      </c>
      <c r="G40" s="31"/>
      <c r="H40" s="31"/>
      <c r="I40" s="31"/>
      <c r="J40" s="31"/>
      <c r="K40" s="31"/>
      <c r="L40" s="6">
        <f t="shared" si="1"/>
        <v>-177.56756756756761</v>
      </c>
      <c r="M40" s="6">
        <f t="shared" si="6"/>
        <v>102.51868293448221</v>
      </c>
      <c r="N40" s="31"/>
      <c r="O40" s="31"/>
      <c r="P40" s="31"/>
      <c r="Q40" s="31"/>
      <c r="S40" s="6">
        <f>DAYS360($B$5,T40)</f>
        <v>311</v>
      </c>
      <c r="T40" s="5">
        <v>41589</v>
      </c>
      <c r="U40" s="6" t="s">
        <v>350</v>
      </c>
      <c r="V40" s="33">
        <v>240</v>
      </c>
      <c r="W40" s="31"/>
      <c r="X40" s="31"/>
      <c r="Y40" s="31"/>
      <c r="Z40" s="31"/>
      <c r="AA40" s="31"/>
      <c r="AB40" s="31"/>
      <c r="AC40" s="31"/>
      <c r="AD40" s="31"/>
      <c r="AE40" s="31"/>
      <c r="AF40" s="31"/>
      <c r="AG40" s="31"/>
    </row>
    <row r="41" spans="2:33" x14ac:dyDescent="0.25">
      <c r="B41" s="6">
        <f t="shared" si="5"/>
        <v>157</v>
      </c>
      <c r="C41" s="10">
        <v>1</v>
      </c>
      <c r="D41" s="5">
        <v>41432</v>
      </c>
      <c r="E41" s="6" t="s">
        <v>370</v>
      </c>
      <c r="F41" s="33">
        <v>630</v>
      </c>
      <c r="G41" s="31"/>
      <c r="H41" s="31"/>
      <c r="I41" s="31"/>
      <c r="J41" s="31"/>
      <c r="K41" s="31"/>
      <c r="L41" s="6">
        <f t="shared" si="1"/>
        <v>92.432432432432392</v>
      </c>
      <c r="M41" s="6">
        <f t="shared" si="6"/>
        <v>65.359599774540314</v>
      </c>
      <c r="N41" s="31"/>
      <c r="O41" s="31"/>
      <c r="P41" s="31"/>
      <c r="Q41" s="31"/>
      <c r="S41" s="6">
        <f>DAYS360($B$5,T41)</f>
        <v>325</v>
      </c>
      <c r="T41" s="5">
        <v>41603</v>
      </c>
      <c r="U41" s="6" t="s">
        <v>350</v>
      </c>
      <c r="V41" s="33">
        <f>8*60</f>
        <v>480</v>
      </c>
      <c r="W41" s="6">
        <f>COUNT(V40:V41)</f>
        <v>2</v>
      </c>
      <c r="X41" s="6">
        <f>SUM(V40:V41)</f>
        <v>720</v>
      </c>
      <c r="Y41" s="6">
        <f>(518400-X41)/W41</f>
        <v>258840</v>
      </c>
      <c r="Z41" s="6">
        <f>INT(Y41/60/24)</f>
        <v>179</v>
      </c>
      <c r="AA41" s="6">
        <f>X41/W41</f>
        <v>360</v>
      </c>
      <c r="AB41" s="6">
        <f>X41-V42</f>
        <v>360</v>
      </c>
      <c r="AC41" s="33">
        <f>SQRT((AB41*AB41)/COUNT(S40:S41))</f>
        <v>254.55844122715712</v>
      </c>
      <c r="AD41" s="6">
        <f>W41/365</f>
        <v>5.4794520547945206E-3</v>
      </c>
      <c r="AE41" s="6">
        <f>AD41*EXP(-AD41*365)</f>
        <v>7.4156319581705592E-4</v>
      </c>
      <c r="AF41" s="6">
        <f>1-EXP(-AD41*365)</f>
        <v>0.8646647167633873</v>
      </c>
      <c r="AG41" s="6">
        <f>EXP(-AD41*365)</f>
        <v>0.1353352832366127</v>
      </c>
    </row>
    <row r="42" spans="2:33" x14ac:dyDescent="0.25">
      <c r="B42" s="6">
        <f t="shared" si="5"/>
        <v>339</v>
      </c>
      <c r="C42" s="10">
        <v>1</v>
      </c>
      <c r="D42" s="5">
        <v>41617</v>
      </c>
      <c r="E42" s="6" t="s">
        <v>370</v>
      </c>
      <c r="F42" s="33">
        <f>11*60</f>
        <v>660</v>
      </c>
      <c r="G42" s="6">
        <f>COUNT(F39:F42)</f>
        <v>4</v>
      </c>
      <c r="H42" s="6">
        <f>SUM(F39:F42)</f>
        <v>2220</v>
      </c>
      <c r="I42" s="6">
        <f>(518400-H42)/G42</f>
        <v>129045</v>
      </c>
      <c r="J42" s="6">
        <f>INT(I42/60/24)</f>
        <v>89</v>
      </c>
      <c r="K42" s="6">
        <f>H42/G42</f>
        <v>555</v>
      </c>
      <c r="L42" s="6">
        <f t="shared" si="1"/>
        <v>122.43243243243239</v>
      </c>
      <c r="M42" s="6">
        <f t="shared" si="6"/>
        <v>122.43243243243239</v>
      </c>
      <c r="N42" s="6">
        <f>G42/365</f>
        <v>1.0958904109589041E-2</v>
      </c>
      <c r="O42" s="6">
        <f>N42*EXP(-N42*365)</f>
        <v>2.0071933028749785E-4</v>
      </c>
      <c r="P42" s="6">
        <f>1-EXP(-N42*365)</f>
        <v>0.98168436111126578</v>
      </c>
      <c r="Q42" s="6">
        <f>EXP(-N42*365)</f>
        <v>1.8315638888734179E-2</v>
      </c>
      <c r="S42" s="31"/>
      <c r="T42" s="31"/>
      <c r="U42" s="43" t="s">
        <v>235</v>
      </c>
      <c r="V42" s="6">
        <f>AVERAGE(V40:V41)</f>
        <v>360</v>
      </c>
      <c r="W42" s="31"/>
      <c r="X42" s="31"/>
      <c r="Y42" s="31"/>
      <c r="Z42" s="31"/>
      <c r="AA42" s="31"/>
      <c r="AB42" s="31"/>
      <c r="AC42" s="31"/>
      <c r="AD42" s="31"/>
      <c r="AE42" s="31"/>
      <c r="AF42" s="31"/>
      <c r="AG42" s="31"/>
    </row>
    <row r="43" spans="2:33" x14ac:dyDescent="0.25">
      <c r="E43" s="43" t="s">
        <v>235</v>
      </c>
      <c r="F43" s="6">
        <f>AVERAGE(F6:F42)</f>
        <v>537.56756756756761</v>
      </c>
      <c r="S43" s="6">
        <f>DAYS360($B$5,T43)</f>
        <v>64</v>
      </c>
      <c r="T43" s="5">
        <v>41337</v>
      </c>
      <c r="U43" s="6" t="s">
        <v>351</v>
      </c>
      <c r="V43" s="33">
        <f>24*60+5*60</f>
        <v>1740</v>
      </c>
      <c r="W43" s="31"/>
      <c r="X43" s="31"/>
      <c r="Y43" s="31"/>
      <c r="Z43" s="31"/>
      <c r="AA43" s="31"/>
      <c r="AB43" s="31"/>
      <c r="AC43" s="31"/>
      <c r="AD43" s="31"/>
      <c r="AE43" s="31"/>
      <c r="AF43" s="31"/>
      <c r="AG43" s="31"/>
    </row>
    <row r="44" spans="2:33" x14ac:dyDescent="0.25">
      <c r="S44" s="6">
        <f>DAYS360($B$5,T44)</f>
        <v>87</v>
      </c>
      <c r="T44" s="5">
        <v>41360</v>
      </c>
      <c r="U44" s="6" t="s">
        <v>351</v>
      </c>
      <c r="V44" s="33">
        <v>120</v>
      </c>
      <c r="W44" s="31"/>
      <c r="X44" s="31"/>
      <c r="Y44" s="31"/>
      <c r="Z44" s="31"/>
      <c r="AA44" s="31"/>
      <c r="AB44" s="31"/>
      <c r="AC44" s="31"/>
      <c r="AD44" s="31"/>
      <c r="AE44" s="31"/>
      <c r="AF44" s="31"/>
      <c r="AG44" s="31"/>
    </row>
    <row r="45" spans="2:33" x14ac:dyDescent="0.25">
      <c r="B45" s="32" t="s">
        <v>193</v>
      </c>
      <c r="S45" s="6">
        <f>DAYS360($B$5,T45)</f>
        <v>210</v>
      </c>
      <c r="T45" s="5">
        <v>41485</v>
      </c>
      <c r="U45" s="6" t="s">
        <v>351</v>
      </c>
      <c r="V45" s="33">
        <v>180</v>
      </c>
      <c r="W45" s="6">
        <f>COUNT(V43:V45)</f>
        <v>3</v>
      </c>
      <c r="X45" s="6">
        <f>SUM(V43:V45)</f>
        <v>2040</v>
      </c>
      <c r="Y45" s="6">
        <f>(518400-X45)/W45</f>
        <v>172120</v>
      </c>
      <c r="Z45" s="6">
        <f>INT(Y45/60/24)</f>
        <v>119</v>
      </c>
      <c r="AA45" s="6">
        <f>X45/W45</f>
        <v>680</v>
      </c>
      <c r="AB45" s="6">
        <f>X45-V46</f>
        <v>1360</v>
      </c>
      <c r="AC45" s="33">
        <f>SQRT((AB45*AB45)/COUNT(S43:S45))</f>
        <v>785.19636609789109</v>
      </c>
      <c r="AD45" s="6">
        <f>W45/365</f>
        <v>8.21917808219178E-3</v>
      </c>
      <c r="AE45" s="6">
        <f>AD45*EXP(-AD45*365)</f>
        <v>4.0920878110573119E-4</v>
      </c>
      <c r="AF45" s="6">
        <f>1-EXP(-AD45*365)</f>
        <v>0.95021293163213605</v>
      </c>
      <c r="AG45" s="6">
        <f>EXP(-AD45*365)</f>
        <v>4.9787068367863965E-2</v>
      </c>
    </row>
    <row r="46" spans="2:33" x14ac:dyDescent="0.25">
      <c r="B46" t="s">
        <v>255</v>
      </c>
      <c r="S46" s="31"/>
      <c r="T46" s="31"/>
      <c r="U46" s="43" t="s">
        <v>235</v>
      </c>
      <c r="V46" s="6">
        <f>AVERAGE(V43:V45)</f>
        <v>680</v>
      </c>
      <c r="W46" s="31"/>
      <c r="X46" s="31"/>
      <c r="Y46" s="31"/>
      <c r="Z46" s="31"/>
      <c r="AA46" s="31"/>
      <c r="AB46" s="31"/>
      <c r="AC46" s="31"/>
      <c r="AD46" s="31"/>
      <c r="AE46" s="31"/>
      <c r="AF46" s="31"/>
      <c r="AG46" s="31"/>
    </row>
    <row r="47" spans="2:33" x14ac:dyDescent="0.25">
      <c r="S47" s="6">
        <f>DAYS360($B$5,T47)</f>
        <v>221</v>
      </c>
      <c r="T47" s="5">
        <v>41497</v>
      </c>
      <c r="U47" s="6" t="s">
        <v>404</v>
      </c>
      <c r="V47" s="33">
        <f>7*24*60</f>
        <v>10080</v>
      </c>
      <c r="W47" s="6">
        <f>COUNT(V47:V47)</f>
        <v>1</v>
      </c>
      <c r="X47" s="6">
        <f>SUM(V47:V47)</f>
        <v>10080</v>
      </c>
      <c r="Y47" s="6">
        <f>(518400-X47)/W47</f>
        <v>508320</v>
      </c>
      <c r="Z47" s="6">
        <f>INT(Y47/60/24)</f>
        <v>353</v>
      </c>
      <c r="AA47" s="6">
        <f>X47/W47</f>
        <v>10080</v>
      </c>
      <c r="AB47" s="6">
        <f>X47-V48</f>
        <v>0</v>
      </c>
      <c r="AC47" s="33">
        <f>SQRT((AB47*AB47)/COUNT(S47))</f>
        <v>0</v>
      </c>
      <c r="AD47" s="6">
        <f>W47/365</f>
        <v>2.7397260273972603E-3</v>
      </c>
      <c r="AE47" s="6">
        <f>AD47*EXP(-AD47*365)</f>
        <v>1.0078888799217598E-3</v>
      </c>
      <c r="AF47" s="6">
        <f>1-EXP(-AD47*365)</f>
        <v>0.63212055882855767</v>
      </c>
      <c r="AG47" s="6">
        <f>EXP(-AD47*365)</f>
        <v>0.36787944117144233</v>
      </c>
    </row>
    <row r="48" spans="2:33" x14ac:dyDescent="0.25">
      <c r="B48" s="37" t="s">
        <v>209</v>
      </c>
      <c r="S48" s="31"/>
      <c r="T48" s="31"/>
      <c r="U48" s="43" t="s">
        <v>235</v>
      </c>
      <c r="V48" s="6">
        <f>AVERAGE(V47)</f>
        <v>10080</v>
      </c>
      <c r="W48" s="31"/>
      <c r="X48" s="31"/>
      <c r="Y48" s="31"/>
      <c r="Z48" s="31"/>
      <c r="AA48" s="31"/>
      <c r="AB48" s="31"/>
      <c r="AC48" s="31"/>
      <c r="AD48" s="31"/>
      <c r="AE48" s="31"/>
      <c r="AF48" s="31"/>
      <c r="AG48" s="31"/>
    </row>
    <row r="49" spans="2:33" x14ac:dyDescent="0.25">
      <c r="B49" s="37" t="s">
        <v>210</v>
      </c>
      <c r="S49" s="6">
        <f>DAYS360($B$5,T49)</f>
        <v>23</v>
      </c>
      <c r="T49" s="5">
        <v>41297</v>
      </c>
      <c r="U49" s="6" t="s">
        <v>403</v>
      </c>
      <c r="V49" s="33">
        <v>120</v>
      </c>
      <c r="W49" s="6">
        <f>COUNT(V49:V49)</f>
        <v>1</v>
      </c>
      <c r="X49" s="6">
        <f>SUM(V49:V49)</f>
        <v>120</v>
      </c>
      <c r="Y49" s="6">
        <f>(518400-X49)/W49</f>
        <v>518280</v>
      </c>
      <c r="Z49" s="6">
        <f>INT(Y49/60/24)</f>
        <v>359</v>
      </c>
      <c r="AA49" s="6">
        <f>X49/W49</f>
        <v>120</v>
      </c>
      <c r="AB49" s="6">
        <f>X49-V50</f>
        <v>0</v>
      </c>
      <c r="AC49" s="33">
        <f>SQRT((AB49*AB49)/COUNT(S49))</f>
        <v>0</v>
      </c>
      <c r="AD49" s="6">
        <f>W49/365</f>
        <v>2.7397260273972603E-3</v>
      </c>
      <c r="AE49" s="6">
        <f>AD49*EXP(-AD49*365)</f>
        <v>1.0078888799217598E-3</v>
      </c>
      <c r="AF49" s="6">
        <f>1-EXP(-AD49*365)</f>
        <v>0.63212055882855767</v>
      </c>
      <c r="AG49" s="6">
        <f>EXP(-AD49*365)</f>
        <v>0.36787944117144233</v>
      </c>
    </row>
    <row r="50" spans="2:33" x14ac:dyDescent="0.25">
      <c r="B50" s="40" t="s">
        <v>222</v>
      </c>
      <c r="S50" s="31"/>
      <c r="T50" s="31"/>
      <c r="U50" s="43" t="s">
        <v>235</v>
      </c>
      <c r="V50" s="6">
        <f>AVERAGE(V49)</f>
        <v>120</v>
      </c>
      <c r="W50" s="31"/>
      <c r="X50" s="31"/>
      <c r="Y50" s="31"/>
      <c r="Z50" s="31"/>
      <c r="AA50" s="31"/>
      <c r="AB50" s="31"/>
      <c r="AC50" s="31"/>
      <c r="AD50" s="31"/>
      <c r="AE50" s="31"/>
      <c r="AF50" s="31"/>
      <c r="AG50" s="31"/>
    </row>
    <row r="51" spans="2:33" x14ac:dyDescent="0.25">
      <c r="B51" s="40" t="s">
        <v>232</v>
      </c>
      <c r="S51" s="6">
        <f>DAYS360($B$5,T51)</f>
        <v>27</v>
      </c>
      <c r="T51" s="5">
        <v>41301</v>
      </c>
      <c r="U51" s="6" t="s">
        <v>393</v>
      </c>
      <c r="V51" s="33">
        <v>60</v>
      </c>
      <c r="W51" s="6">
        <f>COUNT(V51:V51)</f>
        <v>1</v>
      </c>
      <c r="X51" s="6">
        <f>SUM(V51:V51)</f>
        <v>60</v>
      </c>
      <c r="Y51" s="6">
        <f>(518400-X51)/W51</f>
        <v>518340</v>
      </c>
      <c r="Z51" s="6">
        <f>INT(Y51/60/24)</f>
        <v>359</v>
      </c>
      <c r="AA51" s="6">
        <f>X51/W51</f>
        <v>60</v>
      </c>
      <c r="AB51" s="6">
        <f>X51-V52</f>
        <v>0</v>
      </c>
      <c r="AC51" s="33">
        <f>SQRT((AB51*AB51)/COUNT(S51))</f>
        <v>0</v>
      </c>
      <c r="AD51" s="6">
        <f>W51/365</f>
        <v>2.7397260273972603E-3</v>
      </c>
      <c r="AE51" s="6">
        <f>AD51*EXP(-AD51*365)</f>
        <v>1.0078888799217598E-3</v>
      </c>
      <c r="AF51" s="6">
        <f>1-EXP(-AD51*365)</f>
        <v>0.63212055882855767</v>
      </c>
      <c r="AG51" s="6">
        <f>EXP(-AD51*365)</f>
        <v>0.36787944117144233</v>
      </c>
    </row>
    <row r="52" spans="2:33" x14ac:dyDescent="0.25">
      <c r="B52" s="40"/>
      <c r="S52" s="31"/>
      <c r="T52" s="31"/>
      <c r="U52" s="43" t="s">
        <v>235</v>
      </c>
      <c r="V52" s="6">
        <f>AVERAGE(V51)</f>
        <v>60</v>
      </c>
      <c r="W52" s="31"/>
      <c r="X52" s="31"/>
      <c r="Y52" s="31"/>
      <c r="Z52" s="31"/>
      <c r="AA52" s="31"/>
      <c r="AB52" s="31"/>
      <c r="AC52" s="31"/>
      <c r="AD52" s="31"/>
      <c r="AE52" s="31"/>
      <c r="AF52" s="31"/>
      <c r="AG52" s="31"/>
    </row>
    <row r="53" spans="2:33" x14ac:dyDescent="0.25">
      <c r="B53" t="s">
        <v>234</v>
      </c>
      <c r="S53" s="6">
        <f>DAYS360($B$5,T53)</f>
        <v>266</v>
      </c>
      <c r="T53" s="5">
        <v>41543</v>
      </c>
      <c r="U53" s="6" t="s">
        <v>396</v>
      </c>
      <c r="V53" s="33">
        <v>30</v>
      </c>
      <c r="W53" s="6">
        <f>COUNT(V53:V53)</f>
        <v>1</v>
      </c>
      <c r="X53" s="6">
        <f>SUM(V53:V53)</f>
        <v>30</v>
      </c>
      <c r="Y53" s="6">
        <f>(518400-X53)/W53</f>
        <v>518370</v>
      </c>
      <c r="Z53" s="6">
        <f>INT(Y53/60/24)</f>
        <v>359</v>
      </c>
      <c r="AA53" s="6">
        <f>X53/W53</f>
        <v>30</v>
      </c>
      <c r="AB53" s="6">
        <f>X53-V54</f>
        <v>0</v>
      </c>
      <c r="AC53" s="33">
        <f>SQRT((AB53*AB53)/COUNT(S53))</f>
        <v>0</v>
      </c>
      <c r="AD53" s="6">
        <f>W53/365</f>
        <v>2.7397260273972603E-3</v>
      </c>
      <c r="AE53" s="6">
        <f>AD53*EXP(-AD53*365)</f>
        <v>1.0078888799217598E-3</v>
      </c>
      <c r="AF53" s="6">
        <f>1-EXP(-AD53*365)</f>
        <v>0.63212055882855767</v>
      </c>
      <c r="AG53" s="6">
        <f>EXP(-AD53*365)</f>
        <v>0.36787944117144233</v>
      </c>
    </row>
    <row r="54" spans="2:33" x14ac:dyDescent="0.25">
      <c r="S54" s="31"/>
      <c r="T54" s="31"/>
      <c r="U54" s="43" t="s">
        <v>235</v>
      </c>
      <c r="V54" s="6">
        <f>AVERAGE(V53)</f>
        <v>30</v>
      </c>
      <c r="W54" s="31"/>
      <c r="X54" s="31"/>
      <c r="Y54" s="31"/>
      <c r="Z54" s="31"/>
      <c r="AA54" s="31"/>
      <c r="AB54" s="31"/>
      <c r="AC54" s="31"/>
      <c r="AD54" s="31"/>
      <c r="AE54" s="31"/>
      <c r="AF54" s="31"/>
      <c r="AG54" s="31"/>
    </row>
    <row r="55" spans="2:33" x14ac:dyDescent="0.25">
      <c r="B55" t="s">
        <v>225</v>
      </c>
      <c r="S55" s="6">
        <f>DAYS360($B$5,T55)</f>
        <v>73</v>
      </c>
      <c r="T55" s="5">
        <v>41346</v>
      </c>
      <c r="U55" s="6" t="s">
        <v>399</v>
      </c>
      <c r="V55" s="33">
        <v>120</v>
      </c>
      <c r="W55" s="31"/>
      <c r="X55" s="31"/>
      <c r="Y55" s="31"/>
      <c r="Z55" s="31"/>
      <c r="AA55" s="31"/>
      <c r="AB55" s="31"/>
      <c r="AC55" s="31"/>
      <c r="AD55" s="31"/>
      <c r="AE55" s="31"/>
      <c r="AF55" s="31"/>
      <c r="AG55" s="31"/>
    </row>
    <row r="56" spans="2:33" x14ac:dyDescent="0.25">
      <c r="C56" t="s">
        <v>226</v>
      </c>
      <c r="S56" s="6">
        <f>DAYS360($B$5,T56)</f>
        <v>137</v>
      </c>
      <c r="T56" s="5">
        <v>41411</v>
      </c>
      <c r="U56" s="6" t="s">
        <v>399</v>
      </c>
      <c r="V56" s="33">
        <f>26*60</f>
        <v>1560</v>
      </c>
      <c r="W56" s="31"/>
      <c r="X56" s="31"/>
      <c r="Y56" s="31"/>
      <c r="Z56" s="31"/>
      <c r="AA56" s="31"/>
      <c r="AB56" s="31"/>
      <c r="AC56" s="31"/>
      <c r="AD56" s="31"/>
      <c r="AE56" s="31"/>
      <c r="AF56" s="31"/>
      <c r="AG56" s="31"/>
    </row>
    <row r="57" spans="2:33" x14ac:dyDescent="0.25">
      <c r="C57" t="s">
        <v>227</v>
      </c>
      <c r="S57" s="6">
        <f>DAYS360($B$5,T57)</f>
        <v>277</v>
      </c>
      <c r="T57" s="5">
        <v>41554</v>
      </c>
      <c r="U57" s="6" t="s">
        <v>399</v>
      </c>
      <c r="V57" s="33">
        <v>60</v>
      </c>
      <c r="W57" s="6">
        <f>COUNT(V55:V57)</f>
        <v>3</v>
      </c>
      <c r="X57" s="6">
        <f>SUM(V55:V57)</f>
        <v>1740</v>
      </c>
      <c r="Y57" s="6">
        <f>(518400-X57)/W57</f>
        <v>172220</v>
      </c>
      <c r="Z57" s="6">
        <f>INT(Y57/60/24)</f>
        <v>119</v>
      </c>
      <c r="AA57" s="6">
        <f>X57/W57</f>
        <v>580</v>
      </c>
      <c r="AB57" s="6">
        <f>X57-V58</f>
        <v>1160</v>
      </c>
      <c r="AC57" s="33">
        <f>SQRT((AB57*AB57)/COUNT(S55:S57))</f>
        <v>669.72631225996588</v>
      </c>
      <c r="AD57" s="6">
        <f>W57/365</f>
        <v>8.21917808219178E-3</v>
      </c>
      <c r="AE57" s="6">
        <f>AD57*EXP(-AD57*365)</f>
        <v>4.0920878110573119E-4</v>
      </c>
      <c r="AF57" s="6">
        <f>1-EXP(-AD57*365)</f>
        <v>0.95021293163213605</v>
      </c>
      <c r="AG57" s="6">
        <f>EXP(-AD57*365)</f>
        <v>4.9787068367863965E-2</v>
      </c>
    </row>
    <row r="58" spans="2:33" x14ac:dyDescent="0.25">
      <c r="C58" t="s">
        <v>228</v>
      </c>
      <c r="S58" s="31"/>
      <c r="T58" s="31"/>
      <c r="U58" s="43" t="s">
        <v>235</v>
      </c>
      <c r="V58" s="6">
        <f>AVERAGE(V55:V57)</f>
        <v>580</v>
      </c>
      <c r="W58" s="31"/>
      <c r="X58" s="31"/>
      <c r="Y58" s="31"/>
      <c r="Z58" s="31"/>
      <c r="AA58" s="31"/>
      <c r="AB58" s="31"/>
      <c r="AC58" s="31"/>
      <c r="AD58" s="31"/>
      <c r="AE58" s="31"/>
      <c r="AF58" s="31"/>
      <c r="AG58" s="31"/>
    </row>
    <row r="60" spans="2:33" x14ac:dyDescent="0.25">
      <c r="B60" t="s">
        <v>229</v>
      </c>
    </row>
  </sheetData>
  <sheetProtection sheet="1" objects="1" scenarios="1"/>
  <sortState ref="S6:Z48">
    <sortCondition ref="U6:U48"/>
  </sortState>
  <mergeCells count="2">
    <mergeCell ref="B2:Q3"/>
    <mergeCell ref="S2:AG3"/>
  </mergeCells>
  <pageMargins left="0.7" right="0.7" top="0.75" bottom="0.75" header="0.3" footer="0.3"/>
  <pageSetup paperSize="9" orientation="portrait" horizontalDpi="300" verticalDpi="0" copies="0" r:id="rId1"/>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sheetPr>
  <dimension ref="A1:L93"/>
  <sheetViews>
    <sheetView topLeftCell="Z1" zoomScale="85" zoomScaleNormal="85" workbookViewId="0">
      <selection activeCell="AV37" sqref="AV37"/>
    </sheetView>
  </sheetViews>
  <sheetFormatPr defaultRowHeight="15" x14ac:dyDescent="0.25"/>
  <cols>
    <col min="1" max="1" width="10.42578125" style="16" bestFit="1" customWidth="1"/>
    <col min="2" max="2" width="24.28515625" style="16" bestFit="1" customWidth="1"/>
    <col min="3" max="3" width="28.7109375" style="16" bestFit="1" customWidth="1"/>
    <col min="4" max="4" width="32.5703125" style="16" bestFit="1" customWidth="1"/>
    <col min="5" max="5" width="11.7109375" style="16" bestFit="1" customWidth="1"/>
    <col min="6" max="6" width="11.28515625" style="16" customWidth="1"/>
    <col min="7" max="7" width="20.85546875" style="16" customWidth="1"/>
    <col min="8" max="8" width="17.85546875" style="16" customWidth="1"/>
    <col min="9" max="10" width="17.5703125" style="16" bestFit="1" customWidth="1"/>
    <col min="11" max="45" width="9.140625" style="16" customWidth="1"/>
    <col min="46" max="16384" width="9.140625" style="16"/>
  </cols>
  <sheetData>
    <row r="1" spans="1:10" ht="15" customHeight="1" x14ac:dyDescent="0.25"/>
    <row r="2" spans="1:10" ht="15" customHeight="1" x14ac:dyDescent="0.25"/>
    <row r="3" spans="1:10" ht="15" customHeight="1" x14ac:dyDescent="0.25">
      <c r="A3" s="17" t="s">
        <v>165</v>
      </c>
      <c r="B3" s="17" t="s">
        <v>212</v>
      </c>
      <c r="C3" s="17" t="s">
        <v>249</v>
      </c>
      <c r="D3" s="17" t="s">
        <v>249</v>
      </c>
      <c r="E3" s="17" t="s">
        <v>208</v>
      </c>
      <c r="F3" s="17" t="s">
        <v>5</v>
      </c>
      <c r="G3" s="17" t="s">
        <v>2</v>
      </c>
      <c r="H3" s="17" t="s">
        <v>0</v>
      </c>
      <c r="I3" s="17" t="s">
        <v>213</v>
      </c>
      <c r="J3" s="17" t="s">
        <v>213</v>
      </c>
    </row>
    <row r="4" spans="1:10" ht="15" customHeight="1" x14ac:dyDescent="0.25">
      <c r="A4" s="17"/>
      <c r="B4" s="17" t="s">
        <v>215</v>
      </c>
      <c r="C4" s="17" t="s">
        <v>250</v>
      </c>
      <c r="D4" s="17" t="s">
        <v>252</v>
      </c>
      <c r="E4" s="17"/>
      <c r="F4" s="17"/>
      <c r="G4" s="17"/>
      <c r="H4" s="17"/>
      <c r="I4" s="17" t="s">
        <v>216</v>
      </c>
      <c r="J4" s="17" t="s">
        <v>216</v>
      </c>
    </row>
    <row r="5" spans="1:10" ht="15" customHeight="1" x14ac:dyDescent="0.25">
      <c r="A5" s="18">
        <v>41274</v>
      </c>
      <c r="B5" s="18" t="s">
        <v>214</v>
      </c>
      <c r="C5" s="18" t="s">
        <v>253</v>
      </c>
      <c r="D5" s="18" t="s">
        <v>254</v>
      </c>
      <c r="E5" s="18" t="s">
        <v>251</v>
      </c>
      <c r="I5" s="16" t="s">
        <v>214</v>
      </c>
      <c r="J5" s="16" t="s">
        <v>187</v>
      </c>
    </row>
    <row r="6" spans="1:10" ht="15" customHeight="1" x14ac:dyDescent="0.25">
      <c r="A6" s="18"/>
      <c r="B6" s="18"/>
      <c r="C6" s="18"/>
      <c r="D6" s="18"/>
      <c r="E6" s="18"/>
    </row>
    <row r="7" spans="1:10" s="28" customFormat="1" ht="15" customHeight="1" x14ac:dyDescent="0.25">
      <c r="A7" s="29">
        <f>DAYS360($A$5,F7)</f>
        <v>221</v>
      </c>
      <c r="B7" s="29">
        <f>A7*24</f>
        <v>5304</v>
      </c>
      <c r="C7" s="26">
        <f>1-EXP(-$E$7*A7)</f>
        <v>0.15116076296784609</v>
      </c>
      <c r="D7" s="26">
        <f>EXP(-$E$7*A7)</f>
        <v>0.84883923703215391</v>
      </c>
      <c r="E7" s="26">
        <f>'2014 - MTBF, MTTF, Exponencial'!AE32</f>
        <v>7.4156319581705592E-4</v>
      </c>
      <c r="F7" s="27">
        <v>41497</v>
      </c>
      <c r="G7" s="28" t="s">
        <v>409</v>
      </c>
      <c r="H7" s="28" t="s">
        <v>6</v>
      </c>
      <c r="I7" s="16">
        <f>J7/60</f>
        <v>168</v>
      </c>
      <c r="J7" s="16">
        <f>7*24*60</f>
        <v>10080</v>
      </c>
    </row>
    <row r="8" spans="1:10" s="28" customFormat="1" ht="15" customHeight="1" x14ac:dyDescent="0.25">
      <c r="A8" s="47">
        <f>360-A7</f>
        <v>139</v>
      </c>
      <c r="B8" s="47">
        <f t="shared" ref="B8:B31" si="0">A8*24</f>
        <v>3336</v>
      </c>
      <c r="C8" s="26"/>
      <c r="D8" s="26"/>
      <c r="E8" s="54"/>
      <c r="F8" s="27"/>
      <c r="I8" s="16"/>
      <c r="J8" s="16"/>
    </row>
    <row r="9" spans="1:10" s="28" customFormat="1" ht="15" customHeight="1" x14ac:dyDescent="0.25">
      <c r="A9" s="29">
        <f>DAYS360($A$5,F9)</f>
        <v>23</v>
      </c>
      <c r="B9" s="29">
        <f t="shared" si="0"/>
        <v>552</v>
      </c>
      <c r="C9" s="26">
        <f>1-EXP(-$E$9*A9)</f>
        <v>6.1069388462135277E-2</v>
      </c>
      <c r="D9" s="26">
        <f>EXP(-$E$9*A9)</f>
        <v>0.93893061153786472</v>
      </c>
      <c r="E9" s="26">
        <f>'2013 - MTBF, MTTF, Exponencial'!AD49</f>
        <v>2.7397260273972603E-3</v>
      </c>
      <c r="F9" s="27">
        <v>41297</v>
      </c>
      <c r="G9" s="28" t="s">
        <v>409</v>
      </c>
      <c r="H9" s="28" t="s">
        <v>359</v>
      </c>
      <c r="I9" s="16">
        <f t="shared" ref="I9:I30" si="1">J9/60</f>
        <v>2</v>
      </c>
      <c r="J9" s="16">
        <v>120</v>
      </c>
    </row>
    <row r="10" spans="1:10" s="28" customFormat="1" ht="15" customHeight="1" x14ac:dyDescent="0.25">
      <c r="A10" s="47">
        <f>360-A9</f>
        <v>337</v>
      </c>
      <c r="B10" s="47">
        <f t="shared" si="0"/>
        <v>8088</v>
      </c>
      <c r="C10" s="26"/>
      <c r="D10" s="26"/>
      <c r="E10" s="56"/>
      <c r="F10" s="27"/>
      <c r="I10" s="16"/>
      <c r="J10" s="16"/>
    </row>
    <row r="11" spans="1:10" s="28" customFormat="1" ht="15" customHeight="1" x14ac:dyDescent="0.25">
      <c r="A11" s="29">
        <f>DAYS360($A$5,F11)</f>
        <v>136</v>
      </c>
      <c r="B11" s="29">
        <f t="shared" si="0"/>
        <v>3264</v>
      </c>
      <c r="C11" s="26">
        <f>1-EXP(-$E$11*A11)</f>
        <v>0.31106113346867104</v>
      </c>
      <c r="D11" s="26">
        <f>EXP(-$E$11*A11)</f>
        <v>0.68893886653132896</v>
      </c>
      <c r="E11" s="56">
        <f>'2013 - MTBF, MTTF, Exponencial'!AD13</f>
        <v>2.7397260273972603E-3</v>
      </c>
      <c r="F11" s="27">
        <v>41410</v>
      </c>
      <c r="G11" s="28" t="s">
        <v>333</v>
      </c>
      <c r="H11" s="28" t="s">
        <v>353</v>
      </c>
      <c r="I11" s="16">
        <f t="shared" si="1"/>
        <v>2</v>
      </c>
      <c r="J11" s="16">
        <v>120</v>
      </c>
    </row>
    <row r="12" spans="1:10" s="28" customFormat="1" ht="15" customHeight="1" x14ac:dyDescent="0.25">
      <c r="A12" s="47">
        <f>360-A11</f>
        <v>224</v>
      </c>
      <c r="B12" s="47">
        <f t="shared" si="0"/>
        <v>5376</v>
      </c>
      <c r="C12" s="26"/>
      <c r="D12" s="26"/>
      <c r="E12" s="56"/>
      <c r="F12" s="27"/>
      <c r="I12" s="16"/>
      <c r="J12" s="16"/>
    </row>
    <row r="13" spans="1:10" s="28" customFormat="1" ht="15" customHeight="1" x14ac:dyDescent="0.25">
      <c r="A13" s="29">
        <f>DAYS360($A$5,F13)</f>
        <v>148</v>
      </c>
      <c r="B13" s="29">
        <f t="shared" si="0"/>
        <v>3552</v>
      </c>
      <c r="C13" s="26">
        <f>1-EXP(-$E$13*A13)</f>
        <v>0.33334289589583743</v>
      </c>
      <c r="D13" s="26">
        <f>EXP(-$E$13*A13)</f>
        <v>0.66665710410416257</v>
      </c>
      <c r="E13" s="56">
        <f>'2013 - MTBF, MTTF, Exponencial'!AD15</f>
        <v>2.7397260273972603E-3</v>
      </c>
      <c r="F13" s="27">
        <v>41422</v>
      </c>
      <c r="G13" s="28" t="s">
        <v>333</v>
      </c>
      <c r="H13" s="28" t="s">
        <v>6</v>
      </c>
      <c r="I13" s="16">
        <f t="shared" si="1"/>
        <v>3</v>
      </c>
      <c r="J13" s="16">
        <v>180</v>
      </c>
    </row>
    <row r="14" spans="1:10" s="28" customFormat="1" ht="15" customHeight="1" x14ac:dyDescent="0.25">
      <c r="A14" s="47">
        <f>360-A13</f>
        <v>212</v>
      </c>
      <c r="B14" s="47">
        <f t="shared" si="0"/>
        <v>5088</v>
      </c>
      <c r="C14" s="26"/>
      <c r="D14" s="26"/>
      <c r="E14" s="56"/>
      <c r="F14" s="27"/>
      <c r="I14" s="16">
        <f t="shared" si="1"/>
        <v>0</v>
      </c>
      <c r="J14" s="16"/>
    </row>
    <row r="15" spans="1:10" s="28" customFormat="1" ht="15" customHeight="1" x14ac:dyDescent="0.25">
      <c r="A15" s="29">
        <f>DAYS360($A$5,F15)</f>
        <v>74</v>
      </c>
      <c r="B15" s="29">
        <f t="shared" si="0"/>
        <v>1776</v>
      </c>
      <c r="C15" s="26">
        <f>1-EXP(-$E$15*A15)</f>
        <v>0.18350927494296509</v>
      </c>
      <c r="D15" s="26">
        <f>EXP(-$E$15*A15)</f>
        <v>0.81649072505703491</v>
      </c>
      <c r="E15" s="56">
        <f>'2013 - MTBF, MTTF, Exponencial'!AD17</f>
        <v>2.7397260273972603E-3</v>
      </c>
      <c r="F15" s="27">
        <v>41347</v>
      </c>
      <c r="G15" s="28" t="s">
        <v>342</v>
      </c>
      <c r="H15" s="28" t="s">
        <v>369</v>
      </c>
      <c r="I15" s="16">
        <f t="shared" si="1"/>
        <v>12</v>
      </c>
      <c r="J15" s="16">
        <f>12*60</f>
        <v>720</v>
      </c>
    </row>
    <row r="16" spans="1:10" s="28" customFormat="1" ht="15" customHeight="1" x14ac:dyDescent="0.25">
      <c r="A16" s="47">
        <f>360-A15</f>
        <v>286</v>
      </c>
      <c r="B16" s="47">
        <f t="shared" si="0"/>
        <v>6864</v>
      </c>
      <c r="C16" s="26"/>
      <c r="D16" s="26"/>
      <c r="E16" s="56"/>
      <c r="F16" s="27"/>
      <c r="I16" s="16"/>
      <c r="J16" s="16"/>
    </row>
    <row r="17" spans="1:12" s="28" customFormat="1" ht="15" customHeight="1" x14ac:dyDescent="0.25">
      <c r="A17" s="29">
        <f>DAYS360($A$5,F17)</f>
        <v>23</v>
      </c>
      <c r="B17" s="29">
        <f t="shared" si="0"/>
        <v>552</v>
      </c>
      <c r="C17" s="26">
        <f t="shared" ref="C17:C25" si="2">1-EXP(-$E$17*A17)</f>
        <v>0.46748115177718252</v>
      </c>
      <c r="D17" s="26">
        <f t="shared" ref="D17:D25" si="3">EXP(-$E$17*A17)</f>
        <v>0.53251884822281748</v>
      </c>
      <c r="E17" s="56">
        <f>'2013 - MTBF, MTTF, Exponencial'!AD28</f>
        <v>2.7397260273972601E-2</v>
      </c>
      <c r="F17" s="27">
        <v>41297</v>
      </c>
      <c r="G17" s="28" t="s">
        <v>342</v>
      </c>
      <c r="H17" s="28" t="s">
        <v>353</v>
      </c>
      <c r="I17" s="16">
        <f t="shared" si="1"/>
        <v>0.5</v>
      </c>
      <c r="J17" s="16">
        <v>30</v>
      </c>
    </row>
    <row r="18" spans="1:12" s="28" customFormat="1" ht="15" customHeight="1" x14ac:dyDescent="0.25">
      <c r="A18" s="29">
        <f>DAYS360($A$5,F18)-A17</f>
        <v>50</v>
      </c>
      <c r="B18" s="29">
        <f t="shared" si="0"/>
        <v>1200</v>
      </c>
      <c r="C18" s="26">
        <f t="shared" si="2"/>
        <v>0.74585822889035946</v>
      </c>
      <c r="D18" s="26">
        <f t="shared" si="3"/>
        <v>0.25414177110964059</v>
      </c>
      <c r="E18" s="57"/>
      <c r="F18" s="27">
        <v>41346</v>
      </c>
      <c r="G18" s="28" t="s">
        <v>342</v>
      </c>
      <c r="H18" s="28" t="s">
        <v>353</v>
      </c>
      <c r="I18" s="16">
        <f t="shared" si="1"/>
        <v>2</v>
      </c>
      <c r="J18" s="16">
        <v>120</v>
      </c>
    </row>
    <row r="19" spans="1:12" s="28" customFormat="1" ht="15" customHeight="1" x14ac:dyDescent="0.25">
      <c r="A19" s="29">
        <f>DAYS360($A$5,F19)-A18-A17</f>
        <v>15</v>
      </c>
      <c r="B19" s="29">
        <f t="shared" si="0"/>
        <v>360</v>
      </c>
      <c r="C19" s="26">
        <f t="shared" si="2"/>
        <v>0.3369858218011299</v>
      </c>
      <c r="D19" s="26">
        <f t="shared" si="3"/>
        <v>0.6630141781988701</v>
      </c>
      <c r="E19" s="57"/>
      <c r="F19" s="27">
        <v>41361</v>
      </c>
      <c r="G19" s="28" t="s">
        <v>342</v>
      </c>
      <c r="H19" s="28" t="s">
        <v>353</v>
      </c>
      <c r="I19" s="16">
        <f t="shared" si="1"/>
        <v>1</v>
      </c>
      <c r="J19" s="16">
        <v>60</v>
      </c>
    </row>
    <row r="20" spans="1:12" s="28" customFormat="1" ht="15" customHeight="1" x14ac:dyDescent="0.25">
      <c r="A20" s="29">
        <f>DAYS360($A$5,F20)-A19-A18-A17</f>
        <v>3</v>
      </c>
      <c r="B20" s="29">
        <f t="shared" si="0"/>
        <v>72</v>
      </c>
      <c r="C20" s="26">
        <f t="shared" si="2"/>
        <v>7.8904706656045209E-2</v>
      </c>
      <c r="D20" s="26">
        <f t="shared" si="3"/>
        <v>0.92109529334395479</v>
      </c>
      <c r="E20" s="57"/>
      <c r="F20" s="27">
        <v>41365</v>
      </c>
      <c r="G20" s="28" t="s">
        <v>342</v>
      </c>
      <c r="H20" s="28" t="s">
        <v>353</v>
      </c>
      <c r="I20" s="16">
        <f t="shared" si="1"/>
        <v>1</v>
      </c>
      <c r="J20" s="16">
        <v>60</v>
      </c>
    </row>
    <row r="21" spans="1:12" s="28" customFormat="1" ht="15" customHeight="1" x14ac:dyDescent="0.25">
      <c r="A21" s="29">
        <f>DAYS360($A$5,F21)-A20-A19-A18-A17</f>
        <v>145</v>
      </c>
      <c r="B21" s="29">
        <f t="shared" si="0"/>
        <v>3480</v>
      </c>
      <c r="C21" s="26">
        <f t="shared" si="2"/>
        <v>0.98117562562774563</v>
      </c>
      <c r="D21" s="26">
        <f t="shared" si="3"/>
        <v>1.8824374372254368E-2</v>
      </c>
      <c r="E21" s="57"/>
      <c r="F21" s="27">
        <v>41512</v>
      </c>
      <c r="G21" s="28" t="s">
        <v>342</v>
      </c>
      <c r="H21" s="28" t="s">
        <v>353</v>
      </c>
      <c r="I21" s="16">
        <f t="shared" si="1"/>
        <v>2</v>
      </c>
      <c r="J21" s="16">
        <v>120</v>
      </c>
    </row>
    <row r="22" spans="1:12" s="28" customFormat="1" ht="15" customHeight="1" x14ac:dyDescent="0.25">
      <c r="A22" s="29">
        <f>DAYS360($A$5,F22)-A21-A20-A19-A18-A17</f>
        <v>48</v>
      </c>
      <c r="B22" s="29">
        <f t="shared" si="0"/>
        <v>1152</v>
      </c>
      <c r="C22" s="26">
        <f t="shared" si="2"/>
        <v>0.73154406478330603</v>
      </c>
      <c r="D22" s="26">
        <f t="shared" si="3"/>
        <v>0.26845593521669392</v>
      </c>
      <c r="E22" s="57"/>
      <c r="F22" s="27">
        <v>41561</v>
      </c>
      <c r="G22" s="28" t="s">
        <v>342</v>
      </c>
      <c r="H22" s="28" t="s">
        <v>353</v>
      </c>
      <c r="I22" s="16">
        <f t="shared" si="1"/>
        <v>1</v>
      </c>
      <c r="J22" s="16">
        <v>60</v>
      </c>
    </row>
    <row r="23" spans="1:12" s="28" customFormat="1" ht="15" customHeight="1" x14ac:dyDescent="0.25">
      <c r="A23" s="29">
        <f>DAYS360($A$5,F23)-A22-A21-A20-A19-A18-A17</f>
        <v>5</v>
      </c>
      <c r="B23" s="29">
        <f t="shared" si="0"/>
        <v>120</v>
      </c>
      <c r="C23" s="26">
        <f t="shared" si="2"/>
        <v>0.12801782898845826</v>
      </c>
      <c r="D23" s="26">
        <f t="shared" si="3"/>
        <v>0.87198217101154174</v>
      </c>
      <c r="E23" s="57"/>
      <c r="F23" s="27">
        <v>41566</v>
      </c>
      <c r="G23" s="28" t="s">
        <v>342</v>
      </c>
      <c r="H23" s="28" t="s">
        <v>353</v>
      </c>
      <c r="I23" s="16">
        <f t="shared" si="1"/>
        <v>2.5</v>
      </c>
      <c r="J23" s="16">
        <v>150</v>
      </c>
    </row>
    <row r="24" spans="1:12" s="28" customFormat="1" ht="15" customHeight="1" x14ac:dyDescent="0.25">
      <c r="A24" s="29">
        <f>DAYS360($A$5,F24)-A23-A22-A21-A20-A19-A18-A17</f>
        <v>1</v>
      </c>
      <c r="B24" s="29">
        <f t="shared" si="0"/>
        <v>24</v>
      </c>
      <c r="C24" s="26">
        <f t="shared" si="2"/>
        <v>2.7025359433459961E-2</v>
      </c>
      <c r="D24" s="26">
        <f t="shared" si="3"/>
        <v>0.97297464056654004</v>
      </c>
      <c r="E24" s="57"/>
      <c r="F24" s="27">
        <v>41567</v>
      </c>
      <c r="G24" s="28" t="s">
        <v>342</v>
      </c>
      <c r="H24" s="28" t="s">
        <v>353</v>
      </c>
      <c r="I24" s="16">
        <f t="shared" si="1"/>
        <v>2</v>
      </c>
      <c r="J24" s="16">
        <v>120</v>
      </c>
    </row>
    <row r="25" spans="1:12" s="28" customFormat="1" ht="15" customHeight="1" x14ac:dyDescent="0.25">
      <c r="A25" s="29">
        <f>DAYS360($A$5,F25)-A24-A23-A22-A21-A20-A19-A18-A17</f>
        <v>49</v>
      </c>
      <c r="B25" s="29">
        <f t="shared" si="0"/>
        <v>1176</v>
      </c>
      <c r="C25" s="26">
        <f t="shared" si="2"/>
        <v>0.7387991829245828</v>
      </c>
      <c r="D25" s="26">
        <f t="shared" si="3"/>
        <v>0.26120081707541715</v>
      </c>
      <c r="E25" s="57"/>
      <c r="F25" s="27">
        <v>41617</v>
      </c>
      <c r="G25" s="28" t="s">
        <v>342</v>
      </c>
      <c r="H25" s="28" t="s">
        <v>353</v>
      </c>
      <c r="I25" s="16">
        <f t="shared" si="1"/>
        <v>0.5</v>
      </c>
      <c r="J25" s="16">
        <v>30</v>
      </c>
    </row>
    <row r="26" spans="1:12" s="28" customFormat="1" ht="15" customHeight="1" x14ac:dyDescent="0.25">
      <c r="A26" s="47">
        <f>360-SUM(A17:A25)</f>
        <v>21</v>
      </c>
      <c r="B26" s="47">
        <v>504</v>
      </c>
      <c r="C26" s="26"/>
      <c r="D26" s="26"/>
      <c r="E26" s="56"/>
      <c r="F26" s="27"/>
      <c r="I26" s="16"/>
      <c r="J26" s="16"/>
    </row>
    <row r="27" spans="1:12" s="28" customFormat="1" ht="15" customHeight="1" x14ac:dyDescent="0.25">
      <c r="A27" s="29">
        <f>DAYS360($A$5,F27)</f>
        <v>28</v>
      </c>
      <c r="B27" s="29">
        <f t="shared" si="0"/>
        <v>672</v>
      </c>
      <c r="C27" s="26">
        <f t="shared" ref="C27:C31" si="4">1-EXP(-$E$27*A27)</f>
        <v>0.41549287098528664</v>
      </c>
      <c r="D27" s="26">
        <f t="shared" ref="D27:D31" si="5">EXP(-$E$27*A27)</f>
        <v>0.58450712901471336</v>
      </c>
      <c r="E27" s="56">
        <f>'2013 - MTBF, MTTF, Exponencial'!AD36</f>
        <v>1.9178082191780823E-2</v>
      </c>
      <c r="F27" s="27">
        <v>41302</v>
      </c>
      <c r="G27" s="28" t="s">
        <v>342</v>
      </c>
      <c r="H27" s="28" t="s">
        <v>6</v>
      </c>
      <c r="I27" s="16">
        <f t="shared" si="1"/>
        <v>1</v>
      </c>
      <c r="J27" s="16">
        <v>60</v>
      </c>
      <c r="L27" s="29"/>
    </row>
    <row r="28" spans="1:12" s="28" customFormat="1" ht="15" customHeight="1" x14ac:dyDescent="0.25">
      <c r="A28" s="29">
        <f>DAYS360($A$5,F28)-A27</f>
        <v>1</v>
      </c>
      <c r="B28" s="29">
        <f t="shared" si="0"/>
        <v>24</v>
      </c>
      <c r="C28" s="26">
        <f t="shared" si="4"/>
        <v>1.8995352771274288E-2</v>
      </c>
      <c r="D28" s="26">
        <f t="shared" si="5"/>
        <v>0.98100464722872571</v>
      </c>
      <c r="E28" s="57"/>
      <c r="F28" s="27">
        <v>41303</v>
      </c>
      <c r="G28" s="28" t="s">
        <v>342</v>
      </c>
      <c r="H28" s="28" t="s">
        <v>6</v>
      </c>
      <c r="I28" s="16">
        <f t="shared" si="1"/>
        <v>2</v>
      </c>
      <c r="J28" s="16">
        <v>120</v>
      </c>
    </row>
    <row r="29" spans="1:12" s="28" customFormat="1" ht="15" customHeight="1" x14ac:dyDescent="0.25">
      <c r="A29" s="29">
        <f>DAYS360($A$5,F29)-SUM(A27:A28)</f>
        <v>8</v>
      </c>
      <c r="B29" s="29">
        <f t="shared" si="0"/>
        <v>192</v>
      </c>
      <c r="C29" s="26">
        <f t="shared" si="4"/>
        <v>0.14223461207629395</v>
      </c>
      <c r="D29" s="26">
        <f t="shared" si="5"/>
        <v>0.85776538792370605</v>
      </c>
      <c r="E29" s="57"/>
      <c r="F29" s="27">
        <v>41312</v>
      </c>
      <c r="G29" s="28" t="s">
        <v>342</v>
      </c>
      <c r="H29" s="28" t="s">
        <v>6</v>
      </c>
      <c r="I29" s="16">
        <f t="shared" si="1"/>
        <v>2.5</v>
      </c>
      <c r="J29" s="16">
        <v>150</v>
      </c>
    </row>
    <row r="30" spans="1:12" s="28" customFormat="1" ht="15" customHeight="1" x14ac:dyDescent="0.25">
      <c r="A30" s="29">
        <f>DAYS360($A$5,F30)-SUM(A27:A29)</f>
        <v>19</v>
      </c>
      <c r="B30" s="29">
        <f t="shared" si="0"/>
        <v>456</v>
      </c>
      <c r="C30" s="26">
        <f t="shared" si="4"/>
        <v>0.305375287756532</v>
      </c>
      <c r="D30" s="26">
        <f t="shared" si="5"/>
        <v>0.694624712243468</v>
      </c>
      <c r="E30" s="57"/>
      <c r="F30" s="27">
        <v>41331</v>
      </c>
      <c r="G30" s="28" t="s">
        <v>342</v>
      </c>
      <c r="H30" s="28" t="s">
        <v>6</v>
      </c>
      <c r="I30" s="16">
        <f t="shared" si="1"/>
        <v>0.5</v>
      </c>
      <c r="J30" s="16">
        <v>30</v>
      </c>
    </row>
    <row r="31" spans="1:12" s="28" customFormat="1" ht="15" customHeight="1" x14ac:dyDescent="0.25">
      <c r="A31" s="29">
        <f>DAYS360($A$5,F31)-SUM(A27:A30)</f>
        <v>13</v>
      </c>
      <c r="B31" s="29">
        <f t="shared" si="0"/>
        <v>312</v>
      </c>
      <c r="C31" s="26">
        <f t="shared" si="4"/>
        <v>0.22066560901313481</v>
      </c>
      <c r="D31" s="26">
        <f t="shared" si="5"/>
        <v>0.77933439098686519</v>
      </c>
      <c r="E31" s="57"/>
      <c r="F31" s="27">
        <v>41342</v>
      </c>
      <c r="G31" s="28" t="s">
        <v>342</v>
      </c>
      <c r="H31" s="28" t="s">
        <v>6</v>
      </c>
      <c r="I31" s="16">
        <f>J31/60</f>
        <v>1</v>
      </c>
      <c r="J31" s="16">
        <v>60</v>
      </c>
    </row>
    <row r="32" spans="1:12" s="28" customFormat="1" ht="15" customHeight="1" x14ac:dyDescent="0.25">
      <c r="A32" s="29">
        <f>DAYS360($A$5,F32)-SUM(A27:A31)</f>
        <v>122</v>
      </c>
      <c r="B32" s="29">
        <f t="shared" ref="B32:B59" si="6">A32*24</f>
        <v>2928</v>
      </c>
      <c r="C32" s="26">
        <f>1-EXP(-$E$27*A32)</f>
        <v>0.90364596702019118</v>
      </c>
      <c r="D32" s="26">
        <f>EXP(-$E$27*A32)</f>
        <v>9.6354032979808782E-2</v>
      </c>
      <c r="E32" s="58"/>
      <c r="F32" s="27">
        <v>41466</v>
      </c>
      <c r="G32" s="28" t="s">
        <v>342</v>
      </c>
      <c r="H32" s="28" t="s">
        <v>6</v>
      </c>
      <c r="I32" s="16">
        <f>J32/60</f>
        <v>2</v>
      </c>
      <c r="J32" s="16">
        <v>120</v>
      </c>
    </row>
    <row r="33" spans="1:10" s="28" customFormat="1" ht="15" customHeight="1" x14ac:dyDescent="0.25">
      <c r="A33" s="29">
        <f>DAYS360($A$5,F33)-SUM(A27:A32)</f>
        <v>4</v>
      </c>
      <c r="B33" s="29">
        <f t="shared" si="6"/>
        <v>96</v>
      </c>
      <c r="C33" s="26">
        <f>1-EXP(-$E$27*A33)</f>
        <v>7.3843756203249455E-2</v>
      </c>
      <c r="D33" s="26">
        <f>EXP(-$E$27*A33)</f>
        <v>0.92615624379675054</v>
      </c>
      <c r="E33" s="58"/>
      <c r="F33" s="27">
        <v>41470</v>
      </c>
      <c r="G33" s="28" t="s">
        <v>342</v>
      </c>
      <c r="H33" s="28" t="s">
        <v>6</v>
      </c>
      <c r="I33" s="16">
        <f>J33/60</f>
        <v>2</v>
      </c>
      <c r="J33" s="16">
        <v>120</v>
      </c>
    </row>
    <row r="34" spans="1:10" s="28" customFormat="1" ht="15" customHeight="1" x14ac:dyDescent="0.25">
      <c r="A34" s="29">
        <f>DAYS360($A$5,F34)-SUM(A27:A33)</f>
        <v>125</v>
      </c>
      <c r="B34" s="29">
        <f t="shared" si="6"/>
        <v>3000</v>
      </c>
      <c r="C34" s="26">
        <f>1-EXP(-$E$27*A34)</f>
        <v>0.9090331635927088</v>
      </c>
      <c r="D34" s="26">
        <f>EXP(-$E$27*A34)</f>
        <v>9.0966836407291196E-2</v>
      </c>
      <c r="E34" s="58"/>
      <c r="F34" s="27">
        <v>41598</v>
      </c>
      <c r="G34" s="28" t="s">
        <v>342</v>
      </c>
      <c r="H34" s="28" t="s">
        <v>6</v>
      </c>
      <c r="I34" s="16">
        <f>J34/60</f>
        <v>1.5</v>
      </c>
      <c r="J34" s="16">
        <v>90</v>
      </c>
    </row>
    <row r="35" spans="1:10" s="28" customFormat="1" ht="15" customHeight="1" x14ac:dyDescent="0.25">
      <c r="A35" s="47">
        <f>360-SUM(A27:A34)</f>
        <v>40</v>
      </c>
      <c r="B35" s="47">
        <f t="shared" si="6"/>
        <v>960</v>
      </c>
      <c r="C35" s="16"/>
      <c r="D35" s="16"/>
      <c r="E35" s="16"/>
      <c r="F35" s="27"/>
      <c r="I35" s="16"/>
      <c r="J35" s="16"/>
    </row>
    <row r="36" spans="1:10" s="28" customFormat="1" ht="15" customHeight="1" x14ac:dyDescent="0.25">
      <c r="A36" s="29">
        <f>DAYS360($A$5,F36)</f>
        <v>25</v>
      </c>
      <c r="B36" s="29">
        <f t="shared" si="6"/>
        <v>600</v>
      </c>
      <c r="C36" s="26">
        <f>1-EXP(-$E$36*A36)</f>
        <v>6.6200144028956465E-2</v>
      </c>
      <c r="D36" s="26">
        <f>EXP(-$E$36*A36)</f>
        <v>0.93379985597104354</v>
      </c>
      <c r="E36" s="16">
        <f>'2013 - MTBF, MTTF, Exponencial'!AD38</f>
        <v>2.7397260273972603E-3</v>
      </c>
      <c r="F36" s="27">
        <v>41299</v>
      </c>
      <c r="G36" s="28" t="s">
        <v>342</v>
      </c>
      <c r="H36" s="28" t="s">
        <v>359</v>
      </c>
      <c r="I36" s="16">
        <f>J36/60</f>
        <v>6</v>
      </c>
      <c r="J36" s="16">
        <v>360</v>
      </c>
    </row>
    <row r="37" spans="1:10" s="28" customFormat="1" ht="15" customHeight="1" x14ac:dyDescent="0.25">
      <c r="A37" s="47">
        <f>360-A36</f>
        <v>335</v>
      </c>
      <c r="B37" s="47">
        <f t="shared" si="6"/>
        <v>8040</v>
      </c>
      <c r="C37" s="16"/>
      <c r="D37" s="16"/>
      <c r="E37" s="16"/>
      <c r="F37" s="27"/>
      <c r="I37" s="16"/>
      <c r="J37" s="16"/>
    </row>
    <row r="38" spans="1:10" s="28" customFormat="1" ht="15" customHeight="1" x14ac:dyDescent="0.25">
      <c r="A38" s="29">
        <f>DAYS360($A$5,F38)</f>
        <v>311</v>
      </c>
      <c r="B38" s="29">
        <f t="shared" si="6"/>
        <v>7464</v>
      </c>
      <c r="C38" s="26">
        <f>1-EXP(-$E$38*A38)</f>
        <v>0.81806568962111137</v>
      </c>
      <c r="D38" s="26">
        <f>EXP(-$E$38*A38)</f>
        <v>0.18193431037888863</v>
      </c>
      <c r="E38" s="16">
        <f>'2013 - MTBF, MTTF, Exponencial'!AD41</f>
        <v>5.4794520547945206E-3</v>
      </c>
      <c r="F38" s="27">
        <v>41589</v>
      </c>
      <c r="G38" s="28" t="s">
        <v>342</v>
      </c>
      <c r="H38" s="28" t="s">
        <v>72</v>
      </c>
      <c r="I38" s="16">
        <f>J38/60</f>
        <v>4</v>
      </c>
      <c r="J38" s="16">
        <v>240</v>
      </c>
    </row>
    <row r="39" spans="1:10" s="28" customFormat="1" ht="15" customHeight="1" x14ac:dyDescent="0.25">
      <c r="A39" s="29">
        <f>DAYS360($A$5,F39)-A38</f>
        <v>14</v>
      </c>
      <c r="B39" s="29">
        <f t="shared" si="6"/>
        <v>336</v>
      </c>
      <c r="C39" s="26">
        <f>1-EXP(-$E$38*A39)</f>
        <v>7.3843756203249455E-2</v>
      </c>
      <c r="D39" s="26">
        <f>EXP(-$E$38*A39)</f>
        <v>0.92615624379675054</v>
      </c>
      <c r="E39" s="58"/>
      <c r="F39" s="27">
        <v>41603</v>
      </c>
      <c r="G39" s="28" t="s">
        <v>342</v>
      </c>
      <c r="H39" s="28" t="s">
        <v>72</v>
      </c>
      <c r="I39" s="16">
        <f>J39/60</f>
        <v>8</v>
      </c>
      <c r="J39" s="16">
        <f>8*60</f>
        <v>480</v>
      </c>
    </row>
    <row r="40" spans="1:10" s="28" customFormat="1" ht="15" customHeight="1" x14ac:dyDescent="0.25">
      <c r="A40" s="47">
        <f>360-SUM(A38:A39)</f>
        <v>35</v>
      </c>
      <c r="B40" s="47">
        <f t="shared" si="6"/>
        <v>840</v>
      </c>
      <c r="C40" s="16"/>
      <c r="D40" s="16"/>
      <c r="E40" s="16"/>
      <c r="F40" s="27"/>
      <c r="I40" s="16"/>
      <c r="J40" s="16"/>
    </row>
    <row r="41" spans="1:10" s="28" customFormat="1" ht="15" customHeight="1" x14ac:dyDescent="0.25">
      <c r="A41" s="29">
        <f>DAYS360($A$5,F41)</f>
        <v>64</v>
      </c>
      <c r="B41" s="29">
        <f t="shared" si="6"/>
        <v>1536</v>
      </c>
      <c r="C41" s="26">
        <f>1-EXP(-$E$41*A41)</f>
        <v>0.4090520858940363</v>
      </c>
      <c r="D41" s="26">
        <f>EXP(-$E$41*A41)</f>
        <v>0.5909479141059637</v>
      </c>
      <c r="E41" s="16">
        <f>'2013 - MTBF, MTTF, Exponencial'!AD45</f>
        <v>8.21917808219178E-3</v>
      </c>
      <c r="F41" s="27">
        <v>41337</v>
      </c>
      <c r="G41" s="28" t="s">
        <v>342</v>
      </c>
      <c r="H41" s="28" t="s">
        <v>368</v>
      </c>
      <c r="I41" s="16">
        <f>J41/60</f>
        <v>29</v>
      </c>
      <c r="J41" s="16">
        <f>24*60+5*60</f>
        <v>1740</v>
      </c>
    </row>
    <row r="42" spans="1:10" s="28" customFormat="1" ht="15" customHeight="1" x14ac:dyDescent="0.25">
      <c r="A42" s="29">
        <f>DAYS360($A$5,F42)-A41</f>
        <v>23</v>
      </c>
      <c r="B42" s="29">
        <f t="shared" si="6"/>
        <v>552</v>
      </c>
      <c r="C42" s="26">
        <f>1-EXP(-$E$41*A42)</f>
        <v>0.17224751122982584</v>
      </c>
      <c r="D42" s="26">
        <f>EXP(-$E$41*A42)</f>
        <v>0.82775248877017416</v>
      </c>
      <c r="E42" s="58"/>
      <c r="F42" s="27">
        <v>41360</v>
      </c>
      <c r="G42" s="28" t="s">
        <v>342</v>
      </c>
      <c r="H42" s="28" t="s">
        <v>368</v>
      </c>
      <c r="I42" s="16">
        <f>J42/60</f>
        <v>2</v>
      </c>
      <c r="J42" s="16">
        <v>120</v>
      </c>
    </row>
    <row r="43" spans="1:10" s="28" customFormat="1" ht="15" customHeight="1" x14ac:dyDescent="0.25">
      <c r="A43" s="29">
        <f>DAYS360($A$5,F43)-A42-A41</f>
        <v>123</v>
      </c>
      <c r="B43" s="29">
        <f t="shared" si="6"/>
        <v>2952</v>
      </c>
      <c r="C43" s="26">
        <f>1-EXP(-$E$41*A43)</f>
        <v>0.63613010410914161</v>
      </c>
      <c r="D43" s="26">
        <f>EXP(-$E$41*A43)</f>
        <v>0.36386989589085833</v>
      </c>
      <c r="E43" s="58"/>
      <c r="F43" s="27">
        <v>41485</v>
      </c>
      <c r="G43" s="28" t="s">
        <v>342</v>
      </c>
      <c r="H43" s="28" t="s">
        <v>368</v>
      </c>
      <c r="I43" s="16">
        <f>J43/60</f>
        <v>3</v>
      </c>
      <c r="J43" s="16">
        <v>180</v>
      </c>
    </row>
    <row r="44" spans="1:10" s="28" customFormat="1" ht="15" customHeight="1" x14ac:dyDescent="0.25">
      <c r="A44" s="47">
        <f>360-SUM(A41:A43)</f>
        <v>150</v>
      </c>
      <c r="B44" s="47">
        <f t="shared" si="6"/>
        <v>3600</v>
      </c>
      <c r="C44" s="16"/>
      <c r="D44" s="16"/>
      <c r="E44" s="16"/>
      <c r="F44" s="27"/>
      <c r="I44" s="16"/>
      <c r="J44" s="16"/>
    </row>
    <row r="45" spans="1:10" s="28" customFormat="1" ht="15" customHeight="1" x14ac:dyDescent="0.25">
      <c r="A45" s="29">
        <f>DAYS360($A$5,F45)</f>
        <v>27</v>
      </c>
      <c r="B45" s="29">
        <f t="shared" si="6"/>
        <v>648</v>
      </c>
      <c r="C45" s="26">
        <f>1-EXP(-$E$45*A45)</f>
        <v>7.1302862750069362E-2</v>
      </c>
      <c r="D45" s="26">
        <f>EXP(-$E$45*A45)</f>
        <v>0.92869713724993064</v>
      </c>
      <c r="E45" s="16">
        <f>'2013 - MTBF, MTTF, Exponencial'!AD51</f>
        <v>2.7397260273972603E-3</v>
      </c>
      <c r="F45" s="27">
        <v>41301</v>
      </c>
      <c r="G45" s="28" t="s">
        <v>385</v>
      </c>
      <c r="H45" s="28" t="s">
        <v>391</v>
      </c>
      <c r="I45" s="16">
        <f>J45/60</f>
        <v>1</v>
      </c>
      <c r="J45" s="16">
        <v>60</v>
      </c>
    </row>
    <row r="46" spans="1:10" s="28" customFormat="1" ht="15" customHeight="1" x14ac:dyDescent="0.25">
      <c r="A46" s="47">
        <f>360-A45</f>
        <v>333</v>
      </c>
      <c r="B46" s="47">
        <f t="shared" si="6"/>
        <v>7992</v>
      </c>
      <c r="C46" s="16"/>
      <c r="D46" s="16"/>
      <c r="E46" s="16"/>
      <c r="F46" s="27"/>
      <c r="I46" s="16"/>
      <c r="J46" s="16"/>
    </row>
    <row r="47" spans="1:10" s="28" customFormat="1" ht="15" customHeight="1" x14ac:dyDescent="0.25">
      <c r="A47" s="29">
        <f>DAYS360($A$5,F47)</f>
        <v>266</v>
      </c>
      <c r="B47" s="29">
        <f t="shared" si="6"/>
        <v>6384</v>
      </c>
      <c r="C47" s="26">
        <f>1-EXP(-$E$47*A47)</f>
        <v>0.51749650914067935</v>
      </c>
      <c r="D47" s="26">
        <f>EXP(-$E$47*A47)</f>
        <v>0.48250349085932071</v>
      </c>
      <c r="E47" s="16">
        <f>'2013 - MTBF, MTTF, Exponencial'!AD53</f>
        <v>2.7397260273972603E-3</v>
      </c>
      <c r="F47" s="27">
        <v>41543</v>
      </c>
      <c r="G47" s="28" t="s">
        <v>385</v>
      </c>
      <c r="H47" s="28" t="s">
        <v>394</v>
      </c>
      <c r="I47" s="16">
        <f>J47/60</f>
        <v>0.5</v>
      </c>
      <c r="J47" s="16">
        <v>30</v>
      </c>
    </row>
    <row r="48" spans="1:10" s="28" customFormat="1" ht="15" customHeight="1" x14ac:dyDescent="0.25">
      <c r="A48" s="47">
        <f>360-A47</f>
        <v>94</v>
      </c>
      <c r="B48" s="47">
        <f t="shared" si="6"/>
        <v>2256</v>
      </c>
      <c r="C48" s="16"/>
      <c r="D48" s="16"/>
      <c r="E48" s="16"/>
      <c r="F48" s="27"/>
      <c r="I48" s="16"/>
      <c r="J48" s="16"/>
    </row>
    <row r="49" spans="1:12" s="28" customFormat="1" ht="15" customHeight="1" x14ac:dyDescent="0.25">
      <c r="A49" s="29">
        <f>DAYS360($A$5,F49)</f>
        <v>73</v>
      </c>
      <c r="B49" s="29">
        <f t="shared" si="6"/>
        <v>1752</v>
      </c>
      <c r="C49" s="26">
        <f>1-EXP(-$E$49*A49)</f>
        <v>0.45118836390597361</v>
      </c>
      <c r="D49" s="26">
        <f>EXP(-$E$49*A49)</f>
        <v>0.54881163609402639</v>
      </c>
      <c r="E49" s="16">
        <f>'2013 - MTBF, MTTF, Exponencial'!AD57</f>
        <v>8.21917808219178E-3</v>
      </c>
      <c r="F49" s="27">
        <v>41346</v>
      </c>
      <c r="G49" s="28" t="s">
        <v>385</v>
      </c>
      <c r="H49" s="28" t="s">
        <v>397</v>
      </c>
      <c r="I49" s="16">
        <f>J49/60</f>
        <v>2</v>
      </c>
      <c r="J49" s="16">
        <v>120</v>
      </c>
      <c r="L49" s="29"/>
    </row>
    <row r="50" spans="1:12" s="28" customFormat="1" ht="15" customHeight="1" x14ac:dyDescent="0.25">
      <c r="A50" s="29">
        <f>DAYS360($A$5,F50)-A49</f>
        <v>64</v>
      </c>
      <c r="B50" s="29">
        <f t="shared" si="6"/>
        <v>1536</v>
      </c>
      <c r="C50" s="26">
        <f>1-EXP(-$E$49*A50)</f>
        <v>0.4090520858940363</v>
      </c>
      <c r="D50" s="26">
        <f>EXP(-$E$49*A50)</f>
        <v>0.5909479141059637</v>
      </c>
      <c r="E50" s="58"/>
      <c r="F50" s="27">
        <v>41411</v>
      </c>
      <c r="G50" s="28" t="s">
        <v>385</v>
      </c>
      <c r="H50" s="28" t="s">
        <v>397</v>
      </c>
      <c r="I50" s="16">
        <f>J50/60</f>
        <v>26</v>
      </c>
      <c r="J50" s="16">
        <f>26*60</f>
        <v>1560</v>
      </c>
    </row>
    <row r="51" spans="1:12" s="28" customFormat="1" ht="15" customHeight="1" x14ac:dyDescent="0.25">
      <c r="A51" s="29">
        <f>DAYS360($A$5,F51)-A50-A49</f>
        <v>140</v>
      </c>
      <c r="B51" s="29">
        <f t="shared" si="6"/>
        <v>3360</v>
      </c>
      <c r="C51" s="26">
        <f>1-EXP(-$E$49*A51)</f>
        <v>0.68358003086538677</v>
      </c>
      <c r="D51" s="26">
        <f>EXP(-$E$49*A51)</f>
        <v>0.31641996913461323</v>
      </c>
      <c r="E51" s="58"/>
      <c r="F51" s="27">
        <v>41554</v>
      </c>
      <c r="G51" s="28" t="s">
        <v>385</v>
      </c>
      <c r="H51" s="28" t="s">
        <v>397</v>
      </c>
      <c r="I51" s="16">
        <f>J51/60</f>
        <v>1</v>
      </c>
      <c r="J51" s="16">
        <v>60</v>
      </c>
    </row>
    <row r="52" spans="1:12" s="28" customFormat="1" ht="15" customHeight="1" x14ac:dyDescent="0.25">
      <c r="A52" s="47">
        <f>360-SUM(A49:A51)</f>
        <v>83</v>
      </c>
      <c r="B52" s="47">
        <f t="shared" si="6"/>
        <v>1992</v>
      </c>
      <c r="C52" s="16"/>
      <c r="D52" s="16"/>
      <c r="E52" s="16"/>
      <c r="F52" s="27"/>
      <c r="I52" s="16"/>
      <c r="J52" s="16"/>
    </row>
    <row r="53" spans="1:12" s="28" customFormat="1" ht="15" customHeight="1" x14ac:dyDescent="0.25">
      <c r="A53" s="29">
        <f>DAYS360($A$5,F53)</f>
        <v>61</v>
      </c>
      <c r="B53" s="29">
        <f t="shared" si="6"/>
        <v>1464</v>
      </c>
      <c r="C53" s="26">
        <f>1-EXP(-$E$53*A53)</f>
        <v>0.15390470821150237</v>
      </c>
      <c r="D53" s="26">
        <f>EXP(-$E$53*A53)</f>
        <v>0.84609529178849763</v>
      </c>
      <c r="E53" s="16">
        <f>'2013 - MTBF, MTTF, Exponencial'!AD6</f>
        <v>2.7397260273972603E-3</v>
      </c>
      <c r="F53" s="27">
        <v>41334</v>
      </c>
      <c r="G53" s="28" t="s">
        <v>370</v>
      </c>
      <c r="H53" s="28" t="s">
        <v>380</v>
      </c>
      <c r="I53" s="16">
        <f>J53/60</f>
        <v>9.5</v>
      </c>
      <c r="J53" s="16">
        <f>9*60+30</f>
        <v>570</v>
      </c>
    </row>
    <row r="54" spans="1:12" s="28" customFormat="1" ht="15" customHeight="1" x14ac:dyDescent="0.25">
      <c r="A54" s="47">
        <f>360-A53</f>
        <v>299</v>
      </c>
      <c r="B54" s="47">
        <f t="shared" si="6"/>
        <v>7176</v>
      </c>
      <c r="C54" s="16"/>
      <c r="D54" s="16"/>
      <c r="E54" s="16"/>
      <c r="F54" s="27"/>
      <c r="I54" s="16"/>
      <c r="J54" s="16"/>
    </row>
    <row r="55" spans="1:12" s="28" customFormat="1" ht="15" customHeight="1" x14ac:dyDescent="0.25">
      <c r="A55" s="29">
        <f>DAYS360($A$5,F55)</f>
        <v>107</v>
      </c>
      <c r="B55" s="29">
        <f t="shared" si="6"/>
        <v>2568</v>
      </c>
      <c r="C55" s="26">
        <f>1-EXP(-$E$55*A55)</f>
        <v>0.44361866742438705</v>
      </c>
      <c r="D55" s="26">
        <f>EXP(-$E$55*A55)</f>
        <v>0.55638133257561295</v>
      </c>
      <c r="E55" s="16">
        <f>'2013 - MTBF, MTTF, Exponencial'!AD9</f>
        <v>5.4794520547945206E-3</v>
      </c>
      <c r="F55" s="27">
        <v>41381</v>
      </c>
      <c r="G55" s="28" t="s">
        <v>370</v>
      </c>
      <c r="H55" s="28" t="s">
        <v>384</v>
      </c>
      <c r="I55" s="16">
        <f>J55/60</f>
        <v>6</v>
      </c>
      <c r="J55" s="16">
        <v>360</v>
      </c>
    </row>
    <row r="56" spans="1:12" s="28" customFormat="1" ht="15" customHeight="1" x14ac:dyDescent="0.25">
      <c r="A56" s="29">
        <f>DAYS360($A$5,F56)-A55</f>
        <v>232</v>
      </c>
      <c r="B56" s="29">
        <f t="shared" si="6"/>
        <v>5568</v>
      </c>
      <c r="C56" s="26">
        <f>1-EXP(-$E$55*A56)</f>
        <v>0.71951439564595565</v>
      </c>
      <c r="D56" s="26">
        <f>EXP(-$E$55*A56)</f>
        <v>0.28048560435404435</v>
      </c>
      <c r="E56" s="58"/>
      <c r="F56" s="27">
        <v>41617</v>
      </c>
      <c r="G56" s="28" t="s">
        <v>370</v>
      </c>
      <c r="H56" s="28" t="s">
        <v>384</v>
      </c>
      <c r="I56" s="16">
        <f>J56/60</f>
        <v>11</v>
      </c>
      <c r="J56" s="16">
        <f>11*60</f>
        <v>660</v>
      </c>
    </row>
    <row r="57" spans="1:12" s="28" customFormat="1" ht="15" customHeight="1" x14ac:dyDescent="0.25">
      <c r="A57" s="47">
        <f>360-SUM(A55:A56)</f>
        <v>21</v>
      </c>
      <c r="B57" s="47">
        <f t="shared" si="6"/>
        <v>504</v>
      </c>
      <c r="C57" s="20"/>
      <c r="D57" s="20"/>
      <c r="E57" s="20"/>
      <c r="F57" s="27"/>
      <c r="I57" s="16"/>
      <c r="J57" s="16"/>
    </row>
    <row r="58" spans="1:12" s="28" customFormat="1" ht="15" customHeight="1" x14ac:dyDescent="0.25">
      <c r="A58" s="29">
        <f>DAYS360($A$5,F58)</f>
        <v>157</v>
      </c>
      <c r="B58" s="29">
        <f t="shared" si="6"/>
        <v>3768</v>
      </c>
      <c r="C58" s="26">
        <f>1-EXP(-$E$36*A58)</f>
        <v>0.34958001000837391</v>
      </c>
      <c r="D58" s="26">
        <f>EXP(-$E$36*A58)</f>
        <v>0.65041998999162609</v>
      </c>
      <c r="E58" s="16">
        <f>'2013 - MTBF, MTTF, Exponencial'!AD11</f>
        <v>2.7397260273972603E-3</v>
      </c>
      <c r="F58" s="27">
        <v>41432</v>
      </c>
      <c r="G58" s="27" t="s">
        <v>370</v>
      </c>
      <c r="H58" s="27" t="s">
        <v>378</v>
      </c>
      <c r="I58" s="16">
        <f>J58/60</f>
        <v>10.5</v>
      </c>
      <c r="J58" s="16">
        <v>630</v>
      </c>
    </row>
    <row r="59" spans="1:12" s="28" customFormat="1" ht="15" customHeight="1" x14ac:dyDescent="0.25">
      <c r="A59" s="47">
        <f>360-A58</f>
        <v>203</v>
      </c>
      <c r="B59" s="47">
        <f t="shared" si="6"/>
        <v>4872</v>
      </c>
      <c r="C59" s="16"/>
      <c r="D59" s="16"/>
      <c r="E59" s="16"/>
      <c r="F59" s="27"/>
      <c r="I59" s="16"/>
      <c r="J59" s="16"/>
    </row>
    <row r="60" spans="1:12" s="28" customFormat="1" ht="15" customHeight="1" x14ac:dyDescent="0.25">
      <c r="A60" s="29"/>
      <c r="B60" s="29"/>
      <c r="C60" s="16"/>
      <c r="D60" s="16"/>
      <c r="E60" s="16"/>
      <c r="F60" s="27"/>
      <c r="I60" s="16"/>
      <c r="J60" s="16"/>
    </row>
    <row r="61" spans="1:12" ht="15" customHeight="1" x14ac:dyDescent="0.25">
      <c r="A61"/>
    </row>
    <row r="62" spans="1:12" ht="15" customHeight="1" x14ac:dyDescent="0.25"/>
    <row r="63" spans="1:12" ht="15" customHeight="1" x14ac:dyDescent="0.25"/>
    <row r="64" spans="1:12"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90" spans="1:8" x14ac:dyDescent="0.25">
      <c r="A90" s="20"/>
      <c r="B90" s="20"/>
    </row>
    <row r="91" spans="1:8" ht="21" x14ac:dyDescent="0.35">
      <c r="A91" s="15"/>
      <c r="B91" s="15"/>
    </row>
    <row r="93" spans="1:8" x14ac:dyDescent="0.25">
      <c r="H93" s="17"/>
    </row>
  </sheetData>
  <sheetProtection sheet="1" objects="1" scenarios="1"/>
  <pageMargins left="0.7" right="0.7" top="0.75" bottom="0.75" header="0.3" footer="0.3"/>
  <pageSetup paperSize="9" orientation="portrait" horizontalDpi="300" r:id="rId1"/>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sheetPr>
  <dimension ref="A1:H56"/>
  <sheetViews>
    <sheetView zoomScaleNormal="100" workbookViewId="0">
      <selection activeCell="F20" sqref="F20"/>
    </sheetView>
  </sheetViews>
  <sheetFormatPr defaultRowHeight="15" x14ac:dyDescent="0.25"/>
  <cols>
    <col min="1" max="1" width="16.7109375" style="16" bestFit="1" customWidth="1"/>
    <col min="2" max="3" width="11.28515625" style="16" bestFit="1" customWidth="1"/>
    <col min="4" max="4" width="20" style="16" bestFit="1" customWidth="1"/>
    <col min="5" max="5" width="16.7109375" style="16" bestFit="1" customWidth="1"/>
    <col min="6" max="6" width="80.7109375" style="16" customWidth="1"/>
    <col min="7" max="7" width="17.5703125" style="16" bestFit="1" customWidth="1"/>
    <col min="8" max="8" width="11.85546875" style="16" bestFit="1" customWidth="1"/>
    <col min="9" max="16384" width="9.140625" style="16"/>
  </cols>
  <sheetData>
    <row r="1" spans="1:8" ht="21" x14ac:dyDescent="0.35">
      <c r="A1" s="15" t="s">
        <v>172</v>
      </c>
    </row>
    <row r="2" spans="1:8" ht="15" customHeight="1" x14ac:dyDescent="0.35">
      <c r="A2" s="15"/>
    </row>
    <row r="3" spans="1:8" x14ac:dyDescent="0.25">
      <c r="A3" s="17" t="s">
        <v>175</v>
      </c>
      <c r="B3" s="17" t="s">
        <v>165</v>
      </c>
      <c r="C3" s="17" t="s">
        <v>5</v>
      </c>
      <c r="D3" s="17" t="s">
        <v>2</v>
      </c>
      <c r="E3" s="17" t="s">
        <v>0</v>
      </c>
      <c r="F3" s="17" t="s">
        <v>1</v>
      </c>
      <c r="G3" s="17" t="s">
        <v>188</v>
      </c>
      <c r="H3" s="17" t="s">
        <v>218</v>
      </c>
    </row>
    <row r="4" spans="1:8" x14ac:dyDescent="0.25">
      <c r="A4" s="16" t="s">
        <v>176</v>
      </c>
      <c r="B4" s="18">
        <v>40908</v>
      </c>
      <c r="C4" s="18"/>
      <c r="G4" s="16" t="s">
        <v>187</v>
      </c>
    </row>
    <row r="5" spans="1:8" x14ac:dyDescent="0.25">
      <c r="B5" s="18"/>
    </row>
    <row r="6" spans="1:8" x14ac:dyDescent="0.25">
      <c r="A6" s="29">
        <v>8</v>
      </c>
      <c r="B6" s="29">
        <f t="shared" ref="B6:B36" si="0">DAYS360($B$4,C6)</f>
        <v>8</v>
      </c>
      <c r="C6" s="27">
        <v>40916</v>
      </c>
      <c r="D6" s="28" t="s">
        <v>342</v>
      </c>
      <c r="E6" s="28" t="s">
        <v>353</v>
      </c>
      <c r="F6" s="25" t="s">
        <v>78</v>
      </c>
      <c r="G6" s="16">
        <v>120</v>
      </c>
      <c r="H6" s="16" t="s">
        <v>219</v>
      </c>
    </row>
    <row r="7" spans="1:8" x14ac:dyDescent="0.25">
      <c r="A7" s="29">
        <f>B7-B6</f>
        <v>2</v>
      </c>
      <c r="B7" s="29">
        <f t="shared" si="0"/>
        <v>10</v>
      </c>
      <c r="C7" s="27">
        <v>40918</v>
      </c>
      <c r="D7" s="28" t="s">
        <v>342</v>
      </c>
      <c r="E7" s="28" t="s">
        <v>368</v>
      </c>
      <c r="F7" s="28" t="s">
        <v>79</v>
      </c>
      <c r="G7" s="16">
        <v>60</v>
      </c>
      <c r="H7" s="28" t="s">
        <v>220</v>
      </c>
    </row>
    <row r="8" spans="1:8" ht="60" x14ac:dyDescent="0.25">
      <c r="A8" s="29">
        <f t="shared" ref="A8:A53" si="1">B8-B7</f>
        <v>1</v>
      </c>
      <c r="B8" s="29">
        <f t="shared" si="0"/>
        <v>11</v>
      </c>
      <c r="C8" s="27">
        <v>40919</v>
      </c>
      <c r="D8" s="28" t="s">
        <v>342</v>
      </c>
      <c r="E8" s="28" t="s">
        <v>368</v>
      </c>
      <c r="F8" s="28" t="s">
        <v>80</v>
      </c>
      <c r="G8" s="16">
        <v>150</v>
      </c>
      <c r="H8" s="28" t="s">
        <v>220</v>
      </c>
    </row>
    <row r="9" spans="1:8" x14ac:dyDescent="0.25">
      <c r="A9" s="29">
        <f t="shared" si="1"/>
        <v>1</v>
      </c>
      <c r="B9" s="29">
        <f t="shared" si="0"/>
        <v>12</v>
      </c>
      <c r="C9" s="27">
        <v>40920</v>
      </c>
      <c r="D9" s="28" t="s">
        <v>342</v>
      </c>
      <c r="E9" s="28" t="s">
        <v>6</v>
      </c>
      <c r="F9" s="25" t="s">
        <v>81</v>
      </c>
      <c r="G9" s="16">
        <v>60</v>
      </c>
      <c r="H9" s="16" t="s">
        <v>220</v>
      </c>
    </row>
    <row r="10" spans="1:8" ht="30" x14ac:dyDescent="0.25">
      <c r="A10" s="29">
        <f t="shared" si="1"/>
        <v>5</v>
      </c>
      <c r="B10" s="29">
        <f t="shared" si="0"/>
        <v>17</v>
      </c>
      <c r="C10" s="27">
        <v>40925</v>
      </c>
      <c r="D10" s="28" t="s">
        <v>385</v>
      </c>
      <c r="E10" s="28" t="s">
        <v>397</v>
      </c>
      <c r="F10" s="28" t="s">
        <v>82</v>
      </c>
      <c r="G10" s="16">
        <v>120</v>
      </c>
      <c r="H10" s="28" t="s">
        <v>220</v>
      </c>
    </row>
    <row r="11" spans="1:8" ht="30" x14ac:dyDescent="0.25">
      <c r="A11" s="29">
        <f t="shared" si="1"/>
        <v>1</v>
      </c>
      <c r="B11" s="29">
        <f t="shared" si="0"/>
        <v>18</v>
      </c>
      <c r="C11" s="27">
        <v>40926</v>
      </c>
      <c r="D11" s="28" t="s">
        <v>409</v>
      </c>
      <c r="E11" s="28" t="s">
        <v>359</v>
      </c>
      <c r="F11" s="28" t="s">
        <v>83</v>
      </c>
      <c r="G11" s="16">
        <v>30</v>
      </c>
      <c r="H11" s="28" t="s">
        <v>219</v>
      </c>
    </row>
    <row r="12" spans="1:8" ht="30" x14ac:dyDescent="0.25">
      <c r="A12" s="29">
        <f t="shared" si="1"/>
        <v>0</v>
      </c>
      <c r="B12" s="29">
        <f t="shared" si="0"/>
        <v>18</v>
      </c>
      <c r="C12" s="27">
        <v>40926</v>
      </c>
      <c r="D12" s="28" t="s">
        <v>409</v>
      </c>
      <c r="E12" s="28" t="s">
        <v>6</v>
      </c>
      <c r="F12" s="28" t="s">
        <v>84</v>
      </c>
      <c r="G12" s="16">
        <v>150</v>
      </c>
      <c r="H12" s="28" t="s">
        <v>220</v>
      </c>
    </row>
    <row r="13" spans="1:8" ht="30" x14ac:dyDescent="0.25">
      <c r="A13" s="29">
        <f t="shared" si="1"/>
        <v>4</v>
      </c>
      <c r="B13" s="29">
        <f t="shared" si="0"/>
        <v>22</v>
      </c>
      <c r="C13" s="27">
        <v>40930</v>
      </c>
      <c r="D13" s="28" t="s">
        <v>342</v>
      </c>
      <c r="E13" s="28" t="s">
        <v>369</v>
      </c>
      <c r="F13" s="28" t="s">
        <v>85</v>
      </c>
      <c r="G13" s="16">
        <v>120</v>
      </c>
      <c r="H13" s="28" t="s">
        <v>219</v>
      </c>
    </row>
    <row r="14" spans="1:8" ht="30" x14ac:dyDescent="0.25">
      <c r="A14" s="29">
        <f t="shared" si="1"/>
        <v>5</v>
      </c>
      <c r="B14" s="29">
        <f t="shared" si="0"/>
        <v>27</v>
      </c>
      <c r="C14" s="27">
        <v>40935</v>
      </c>
      <c r="D14" s="28" t="s">
        <v>370</v>
      </c>
      <c r="E14" s="28" t="s">
        <v>378</v>
      </c>
      <c r="F14" s="28" t="s">
        <v>86</v>
      </c>
      <c r="G14" s="16">
        <v>240</v>
      </c>
      <c r="H14" s="28" t="s">
        <v>219</v>
      </c>
    </row>
    <row r="15" spans="1:8" ht="30" x14ac:dyDescent="0.25">
      <c r="A15" s="29">
        <f t="shared" si="1"/>
        <v>0</v>
      </c>
      <c r="B15" s="29">
        <f t="shared" si="0"/>
        <v>27</v>
      </c>
      <c r="C15" s="27">
        <v>40935</v>
      </c>
      <c r="D15" s="28" t="s">
        <v>385</v>
      </c>
      <c r="E15" s="28" t="s">
        <v>394</v>
      </c>
      <c r="F15" s="25" t="s">
        <v>87</v>
      </c>
      <c r="G15" s="16">
        <v>60</v>
      </c>
      <c r="H15" s="28" t="s">
        <v>219</v>
      </c>
    </row>
    <row r="16" spans="1:8" x14ac:dyDescent="0.25">
      <c r="A16" s="29">
        <f t="shared" si="1"/>
        <v>1</v>
      </c>
      <c r="B16" s="29">
        <f t="shared" si="0"/>
        <v>28</v>
      </c>
      <c r="C16" s="27">
        <v>40936</v>
      </c>
      <c r="D16" s="28" t="s">
        <v>342</v>
      </c>
      <c r="E16" s="28" t="s">
        <v>369</v>
      </c>
      <c r="F16" s="25" t="s">
        <v>88</v>
      </c>
      <c r="G16" s="16">
        <v>90</v>
      </c>
      <c r="H16" s="28" t="s">
        <v>220</v>
      </c>
    </row>
    <row r="17" spans="1:8" ht="30" x14ac:dyDescent="0.25">
      <c r="A17" s="29">
        <f t="shared" si="1"/>
        <v>5</v>
      </c>
      <c r="B17" s="29">
        <f t="shared" si="0"/>
        <v>33</v>
      </c>
      <c r="C17" s="27">
        <v>40942</v>
      </c>
      <c r="D17" s="28" t="s">
        <v>342</v>
      </c>
      <c r="E17" s="28" t="s">
        <v>369</v>
      </c>
      <c r="F17" s="25" t="s">
        <v>415</v>
      </c>
      <c r="G17" s="16">
        <v>60</v>
      </c>
      <c r="H17" s="28" t="s">
        <v>219</v>
      </c>
    </row>
    <row r="18" spans="1:8" ht="30" x14ac:dyDescent="0.25">
      <c r="A18" s="29">
        <f t="shared" si="1"/>
        <v>3</v>
      </c>
      <c r="B18" s="29">
        <f t="shared" si="0"/>
        <v>36</v>
      </c>
      <c r="C18" s="27">
        <v>40945</v>
      </c>
      <c r="D18" s="28" t="s">
        <v>342</v>
      </c>
      <c r="E18" s="28" t="s">
        <v>353</v>
      </c>
      <c r="F18" s="28" t="s">
        <v>89</v>
      </c>
      <c r="G18" s="16">
        <v>150</v>
      </c>
      <c r="H18" s="28" t="s">
        <v>219</v>
      </c>
    </row>
    <row r="19" spans="1:8" ht="30" x14ac:dyDescent="0.25">
      <c r="A19" s="29">
        <f t="shared" si="1"/>
        <v>23</v>
      </c>
      <c r="B19" s="29">
        <f t="shared" si="0"/>
        <v>59</v>
      </c>
      <c r="C19" s="27">
        <v>40968</v>
      </c>
      <c r="D19" s="28" t="s">
        <v>342</v>
      </c>
      <c r="E19" s="28" t="s">
        <v>369</v>
      </c>
      <c r="F19" s="28" t="s">
        <v>90</v>
      </c>
      <c r="G19" s="16">
        <v>240</v>
      </c>
      <c r="H19" s="28" t="s">
        <v>219</v>
      </c>
    </row>
    <row r="20" spans="1:8" ht="45" x14ac:dyDescent="0.25">
      <c r="A20" s="29">
        <f t="shared" si="1"/>
        <v>4</v>
      </c>
      <c r="B20" s="29">
        <f t="shared" si="0"/>
        <v>63</v>
      </c>
      <c r="C20" s="27">
        <v>40971</v>
      </c>
      <c r="D20" s="28" t="s">
        <v>342</v>
      </c>
      <c r="E20" s="28" t="s">
        <v>368</v>
      </c>
      <c r="F20" s="28" t="s">
        <v>91</v>
      </c>
      <c r="G20" s="16">
        <v>120</v>
      </c>
      <c r="H20" s="28" t="s">
        <v>220</v>
      </c>
    </row>
    <row r="21" spans="1:8" ht="30" x14ac:dyDescent="0.25">
      <c r="A21" s="29">
        <f t="shared" si="1"/>
        <v>1</v>
      </c>
      <c r="B21" s="29">
        <f t="shared" si="0"/>
        <v>64</v>
      </c>
      <c r="C21" s="27">
        <v>40972</v>
      </c>
      <c r="D21" s="28" t="s">
        <v>342</v>
      </c>
      <c r="E21" s="28" t="s">
        <v>368</v>
      </c>
      <c r="F21" s="28" t="s">
        <v>189</v>
      </c>
      <c r="G21" s="16">
        <v>90</v>
      </c>
      <c r="H21" s="28" t="s">
        <v>219</v>
      </c>
    </row>
    <row r="22" spans="1:8" ht="30" x14ac:dyDescent="0.25">
      <c r="A22" s="29">
        <f t="shared" si="1"/>
        <v>4</v>
      </c>
      <c r="B22" s="29">
        <f t="shared" si="0"/>
        <v>68</v>
      </c>
      <c r="C22" s="27">
        <v>40976</v>
      </c>
      <c r="D22" s="28" t="s">
        <v>333</v>
      </c>
      <c r="E22" s="28" t="s">
        <v>6</v>
      </c>
      <c r="F22" s="28" t="s">
        <v>365</v>
      </c>
      <c r="G22" s="16">
        <v>240</v>
      </c>
      <c r="H22" s="28" t="s">
        <v>219</v>
      </c>
    </row>
    <row r="23" spans="1:8" ht="30" x14ac:dyDescent="0.25">
      <c r="A23" s="29">
        <f t="shared" si="1"/>
        <v>4</v>
      </c>
      <c r="B23" s="29">
        <f t="shared" si="0"/>
        <v>72</v>
      </c>
      <c r="C23" s="27">
        <v>40980</v>
      </c>
      <c r="D23" s="28" t="s">
        <v>333</v>
      </c>
      <c r="E23" s="28" t="s">
        <v>6</v>
      </c>
      <c r="F23" s="28" t="s">
        <v>92</v>
      </c>
      <c r="G23" s="16">
        <v>30</v>
      </c>
      <c r="H23" s="28" t="s">
        <v>220</v>
      </c>
    </row>
    <row r="24" spans="1:8" ht="45" x14ac:dyDescent="0.25">
      <c r="A24" s="29">
        <f t="shared" si="1"/>
        <v>3</v>
      </c>
      <c r="B24" s="29">
        <f t="shared" si="0"/>
        <v>75</v>
      </c>
      <c r="C24" s="27">
        <v>40983</v>
      </c>
      <c r="D24" s="28" t="s">
        <v>342</v>
      </c>
      <c r="E24" s="28" t="s">
        <v>353</v>
      </c>
      <c r="F24" s="28" t="s">
        <v>354</v>
      </c>
      <c r="G24" s="16">
        <v>30</v>
      </c>
      <c r="H24" s="28" t="s">
        <v>220</v>
      </c>
    </row>
    <row r="25" spans="1:8" x14ac:dyDescent="0.25">
      <c r="A25" s="29">
        <f t="shared" si="1"/>
        <v>6</v>
      </c>
      <c r="B25" s="29">
        <f t="shared" si="0"/>
        <v>81</v>
      </c>
      <c r="C25" s="27">
        <v>40989</v>
      </c>
      <c r="D25" s="28" t="s">
        <v>333</v>
      </c>
      <c r="E25" s="28" t="s">
        <v>353</v>
      </c>
      <c r="F25" s="28" t="s">
        <v>93</v>
      </c>
      <c r="G25" s="16">
        <v>30</v>
      </c>
      <c r="H25" s="28" t="s">
        <v>219</v>
      </c>
    </row>
    <row r="26" spans="1:8" x14ac:dyDescent="0.25">
      <c r="A26" s="29">
        <f t="shared" si="1"/>
        <v>0</v>
      </c>
      <c r="B26" s="29">
        <f t="shared" si="0"/>
        <v>81</v>
      </c>
      <c r="C26" s="27">
        <v>40989</v>
      </c>
      <c r="D26" s="28" t="s">
        <v>406</v>
      </c>
      <c r="E26" s="28" t="s">
        <v>359</v>
      </c>
      <c r="F26" s="28" t="s">
        <v>94</v>
      </c>
      <c r="G26" s="16">
        <v>60</v>
      </c>
      <c r="H26" s="28" t="s">
        <v>219</v>
      </c>
    </row>
    <row r="27" spans="1:8" x14ac:dyDescent="0.25">
      <c r="A27" s="29">
        <f t="shared" si="1"/>
        <v>18</v>
      </c>
      <c r="B27" s="29">
        <f t="shared" si="0"/>
        <v>99</v>
      </c>
      <c r="C27" s="27">
        <v>41008</v>
      </c>
      <c r="D27" s="28" t="s">
        <v>333</v>
      </c>
      <c r="E27" s="28" t="s">
        <v>6</v>
      </c>
      <c r="F27" s="25" t="s">
        <v>95</v>
      </c>
      <c r="G27" s="16">
        <v>60</v>
      </c>
      <c r="H27" s="28" t="s">
        <v>219</v>
      </c>
    </row>
    <row r="28" spans="1:8" ht="30" x14ac:dyDescent="0.25">
      <c r="A28" s="29">
        <f t="shared" si="1"/>
        <v>7</v>
      </c>
      <c r="B28" s="29">
        <f t="shared" si="0"/>
        <v>106</v>
      </c>
      <c r="C28" s="27">
        <v>41015</v>
      </c>
      <c r="D28" s="28" t="s">
        <v>333</v>
      </c>
      <c r="E28" s="28" t="s">
        <v>353</v>
      </c>
      <c r="F28" s="28" t="s">
        <v>96</v>
      </c>
      <c r="G28" s="16">
        <v>300</v>
      </c>
      <c r="H28" s="28" t="s">
        <v>220</v>
      </c>
    </row>
    <row r="29" spans="1:8" ht="30" x14ac:dyDescent="0.25">
      <c r="A29" s="29">
        <f t="shared" si="1"/>
        <v>2</v>
      </c>
      <c r="B29" s="29">
        <f t="shared" si="0"/>
        <v>108</v>
      </c>
      <c r="C29" s="27">
        <v>41017</v>
      </c>
      <c r="D29" s="28" t="s">
        <v>333</v>
      </c>
      <c r="E29" s="28" t="s">
        <v>353</v>
      </c>
      <c r="F29" s="28" t="s">
        <v>97</v>
      </c>
      <c r="G29" s="16">
        <v>120</v>
      </c>
      <c r="H29" s="28" t="s">
        <v>219</v>
      </c>
    </row>
    <row r="30" spans="1:8" ht="30" x14ac:dyDescent="0.25">
      <c r="A30" s="29">
        <f t="shared" si="1"/>
        <v>5</v>
      </c>
      <c r="B30" s="29">
        <f t="shared" si="0"/>
        <v>113</v>
      </c>
      <c r="C30" s="27">
        <v>41022</v>
      </c>
      <c r="D30" s="28" t="s">
        <v>342</v>
      </c>
      <c r="E30" s="28" t="s">
        <v>368</v>
      </c>
      <c r="F30" s="25" t="s">
        <v>190</v>
      </c>
      <c r="G30" s="16">
        <v>150</v>
      </c>
      <c r="H30" s="28" t="s">
        <v>219</v>
      </c>
    </row>
    <row r="31" spans="1:8" ht="30" x14ac:dyDescent="0.25">
      <c r="A31" s="29">
        <f t="shared" si="1"/>
        <v>4</v>
      </c>
      <c r="B31" s="29">
        <f t="shared" si="0"/>
        <v>117</v>
      </c>
      <c r="C31" s="27">
        <v>41026</v>
      </c>
      <c r="D31" s="28" t="s">
        <v>333</v>
      </c>
      <c r="E31" s="28" t="s">
        <v>353</v>
      </c>
      <c r="F31" s="28" t="s">
        <v>98</v>
      </c>
      <c r="G31" s="16">
        <v>60</v>
      </c>
      <c r="H31" s="28" t="s">
        <v>219</v>
      </c>
    </row>
    <row r="32" spans="1:8" x14ac:dyDescent="0.25">
      <c r="A32" s="29">
        <f t="shared" si="1"/>
        <v>1</v>
      </c>
      <c r="B32" s="29">
        <f t="shared" si="0"/>
        <v>118</v>
      </c>
      <c r="C32" s="27">
        <v>41027</v>
      </c>
      <c r="D32" s="28" t="s">
        <v>385</v>
      </c>
      <c r="E32" s="28" t="s">
        <v>397</v>
      </c>
      <c r="F32" s="28" t="s">
        <v>99</v>
      </c>
      <c r="G32" s="16">
        <v>120</v>
      </c>
      <c r="H32" s="28" t="s">
        <v>219</v>
      </c>
    </row>
    <row r="33" spans="1:8" ht="30" x14ac:dyDescent="0.25">
      <c r="A33" s="29">
        <f t="shared" si="1"/>
        <v>20</v>
      </c>
      <c r="B33" s="29">
        <f t="shared" si="0"/>
        <v>138</v>
      </c>
      <c r="C33" s="27">
        <v>41047</v>
      </c>
      <c r="D33" s="28" t="s">
        <v>342</v>
      </c>
      <c r="E33" s="28" t="s">
        <v>6</v>
      </c>
      <c r="F33" s="25" t="s">
        <v>100</v>
      </c>
      <c r="G33" s="16">
        <v>30</v>
      </c>
      <c r="H33" s="28" t="s">
        <v>219</v>
      </c>
    </row>
    <row r="34" spans="1:8" x14ac:dyDescent="0.25">
      <c r="A34" s="29">
        <f t="shared" si="1"/>
        <v>6</v>
      </c>
      <c r="B34" s="29">
        <f t="shared" si="0"/>
        <v>144</v>
      </c>
      <c r="C34" s="27">
        <v>41053</v>
      </c>
      <c r="D34" s="28" t="s">
        <v>333</v>
      </c>
      <c r="E34" s="28" t="s">
        <v>353</v>
      </c>
      <c r="F34" s="25" t="s">
        <v>416</v>
      </c>
      <c r="G34" s="16">
        <v>60</v>
      </c>
      <c r="H34" s="28" t="s">
        <v>219</v>
      </c>
    </row>
    <row r="35" spans="1:8" x14ac:dyDescent="0.25">
      <c r="A35" s="29">
        <f t="shared" si="1"/>
        <v>15</v>
      </c>
      <c r="B35" s="29">
        <f t="shared" si="0"/>
        <v>159</v>
      </c>
      <c r="C35" s="27">
        <v>41069</v>
      </c>
      <c r="D35" s="28" t="s">
        <v>333</v>
      </c>
      <c r="E35" s="28" t="s">
        <v>353</v>
      </c>
      <c r="F35" s="25" t="s">
        <v>101</v>
      </c>
      <c r="G35" s="16">
        <v>60</v>
      </c>
      <c r="H35" s="28" t="s">
        <v>219</v>
      </c>
    </row>
    <row r="36" spans="1:8" ht="30" x14ac:dyDescent="0.25">
      <c r="A36" s="29">
        <f t="shared" si="1"/>
        <v>1</v>
      </c>
      <c r="B36" s="29">
        <f t="shared" si="0"/>
        <v>160</v>
      </c>
      <c r="C36" s="27">
        <v>41070</v>
      </c>
      <c r="D36" s="28" t="s">
        <v>342</v>
      </c>
      <c r="E36" s="28" t="s">
        <v>368</v>
      </c>
      <c r="F36" s="25" t="s">
        <v>102</v>
      </c>
      <c r="G36" s="16">
        <v>90</v>
      </c>
      <c r="H36" s="28" t="s">
        <v>220</v>
      </c>
    </row>
    <row r="37" spans="1:8" ht="30" x14ac:dyDescent="0.25">
      <c r="A37" s="29">
        <f t="shared" si="1"/>
        <v>3</v>
      </c>
      <c r="B37" s="29">
        <f t="shared" ref="B37:B53" si="2">DAYS360($B$4,C37)</f>
        <v>163</v>
      </c>
      <c r="C37" s="27">
        <v>41073</v>
      </c>
      <c r="D37" s="28" t="s">
        <v>333</v>
      </c>
      <c r="E37" s="28" t="s">
        <v>353</v>
      </c>
      <c r="F37" s="25" t="s">
        <v>103</v>
      </c>
      <c r="G37" s="16">
        <v>240</v>
      </c>
      <c r="H37" s="28" t="s">
        <v>219</v>
      </c>
    </row>
    <row r="38" spans="1:8" x14ac:dyDescent="0.25">
      <c r="A38" s="29">
        <f t="shared" si="1"/>
        <v>8</v>
      </c>
      <c r="B38" s="29">
        <f t="shared" si="2"/>
        <v>171</v>
      </c>
      <c r="C38" s="27">
        <v>41081</v>
      </c>
      <c r="D38" s="28" t="s">
        <v>333</v>
      </c>
      <c r="E38" s="28" t="s">
        <v>359</v>
      </c>
      <c r="F38" s="28" t="s">
        <v>104</v>
      </c>
      <c r="G38" s="16">
        <v>60</v>
      </c>
      <c r="H38" s="28" t="s">
        <v>219</v>
      </c>
    </row>
    <row r="39" spans="1:8" x14ac:dyDescent="0.25">
      <c r="A39" s="29">
        <f t="shared" si="1"/>
        <v>2</v>
      </c>
      <c r="B39" s="29">
        <f t="shared" si="2"/>
        <v>173</v>
      </c>
      <c r="C39" s="27">
        <v>41083</v>
      </c>
      <c r="D39" s="28" t="s">
        <v>333</v>
      </c>
      <c r="E39" s="28" t="s">
        <v>353</v>
      </c>
      <c r="F39" s="25" t="s">
        <v>105</v>
      </c>
      <c r="G39" s="16">
        <v>60</v>
      </c>
      <c r="H39" s="28" t="s">
        <v>220</v>
      </c>
    </row>
    <row r="40" spans="1:8" ht="30" x14ac:dyDescent="0.25">
      <c r="A40" s="29">
        <f t="shared" si="1"/>
        <v>16</v>
      </c>
      <c r="B40" s="29">
        <f t="shared" si="2"/>
        <v>189</v>
      </c>
      <c r="C40" s="27">
        <v>41099</v>
      </c>
      <c r="D40" s="28" t="s">
        <v>342</v>
      </c>
      <c r="E40" s="28" t="s">
        <v>6</v>
      </c>
      <c r="F40" s="28" t="s">
        <v>106</v>
      </c>
      <c r="G40" s="16">
        <v>60</v>
      </c>
      <c r="H40" s="28" t="s">
        <v>220</v>
      </c>
    </row>
    <row r="41" spans="1:8" ht="30" x14ac:dyDescent="0.25">
      <c r="A41" s="29">
        <f t="shared" si="1"/>
        <v>1</v>
      </c>
      <c r="B41" s="29">
        <f t="shared" si="2"/>
        <v>190</v>
      </c>
      <c r="C41" s="27">
        <v>41100</v>
      </c>
      <c r="D41" s="28" t="s">
        <v>370</v>
      </c>
      <c r="E41" s="28" t="s">
        <v>378</v>
      </c>
      <c r="F41" s="28" t="s">
        <v>107</v>
      </c>
      <c r="G41" s="16">
        <v>120</v>
      </c>
      <c r="H41" s="28" t="s">
        <v>219</v>
      </c>
    </row>
    <row r="42" spans="1:8" ht="30" x14ac:dyDescent="0.25">
      <c r="A42" s="29">
        <f t="shared" si="1"/>
        <v>2</v>
      </c>
      <c r="B42" s="29">
        <f t="shared" si="2"/>
        <v>192</v>
      </c>
      <c r="C42" s="27">
        <v>41102</v>
      </c>
      <c r="D42" s="28" t="s">
        <v>370</v>
      </c>
      <c r="E42" s="28" t="s">
        <v>380</v>
      </c>
      <c r="F42" s="28" t="s">
        <v>108</v>
      </c>
      <c r="G42" s="16">
        <v>120</v>
      </c>
      <c r="H42" s="28" t="s">
        <v>220</v>
      </c>
    </row>
    <row r="43" spans="1:8" x14ac:dyDescent="0.25">
      <c r="A43" s="29">
        <f t="shared" si="1"/>
        <v>4</v>
      </c>
      <c r="B43" s="29">
        <f t="shared" si="2"/>
        <v>196</v>
      </c>
      <c r="C43" s="27">
        <v>41106</v>
      </c>
      <c r="D43" s="28" t="s">
        <v>370</v>
      </c>
      <c r="E43" s="28" t="s">
        <v>374</v>
      </c>
      <c r="F43" s="28" t="s">
        <v>109</v>
      </c>
      <c r="G43" s="16">
        <v>60</v>
      </c>
      <c r="H43" s="28" t="s">
        <v>220</v>
      </c>
    </row>
    <row r="44" spans="1:8" ht="30" x14ac:dyDescent="0.25">
      <c r="A44" s="29">
        <f t="shared" si="1"/>
        <v>61</v>
      </c>
      <c r="B44" s="29">
        <f t="shared" si="2"/>
        <v>257</v>
      </c>
      <c r="C44" s="27">
        <v>41169</v>
      </c>
      <c r="D44" s="28" t="s">
        <v>370</v>
      </c>
      <c r="E44" s="28" t="s">
        <v>378</v>
      </c>
      <c r="F44" s="28" t="s">
        <v>110</v>
      </c>
      <c r="G44" s="16">
        <v>60</v>
      </c>
      <c r="H44" s="28" t="s">
        <v>220</v>
      </c>
    </row>
    <row r="45" spans="1:8" ht="30" x14ac:dyDescent="0.25">
      <c r="A45" s="29">
        <f t="shared" si="1"/>
        <v>0</v>
      </c>
      <c r="B45" s="29">
        <f t="shared" si="2"/>
        <v>257</v>
      </c>
      <c r="C45" s="27">
        <v>41169</v>
      </c>
      <c r="D45" s="28" t="s">
        <v>342</v>
      </c>
      <c r="E45" s="28" t="s">
        <v>368</v>
      </c>
      <c r="F45" s="28" t="s">
        <v>111</v>
      </c>
      <c r="G45" s="16">
        <f>3*24*60</f>
        <v>4320</v>
      </c>
      <c r="H45" s="28" t="s">
        <v>219</v>
      </c>
    </row>
    <row r="46" spans="1:8" ht="30" x14ac:dyDescent="0.25">
      <c r="A46" s="29">
        <f t="shared" si="1"/>
        <v>5</v>
      </c>
      <c r="B46" s="29">
        <f t="shared" si="2"/>
        <v>262</v>
      </c>
      <c r="C46" s="27">
        <v>41174</v>
      </c>
      <c r="D46" s="28" t="s">
        <v>342</v>
      </c>
      <c r="E46" s="28" t="s">
        <v>369</v>
      </c>
      <c r="F46" s="28" t="s">
        <v>112</v>
      </c>
      <c r="G46" s="16">
        <f>6*24*60</f>
        <v>8640</v>
      </c>
      <c r="H46" s="28" t="s">
        <v>220</v>
      </c>
    </row>
    <row r="47" spans="1:8" ht="60" x14ac:dyDescent="0.25">
      <c r="A47" s="29">
        <f t="shared" si="1"/>
        <v>11</v>
      </c>
      <c r="B47" s="29">
        <f t="shared" si="2"/>
        <v>273</v>
      </c>
      <c r="C47" s="27">
        <v>41185</v>
      </c>
      <c r="D47" s="28" t="s">
        <v>342</v>
      </c>
      <c r="E47" s="28" t="s">
        <v>6</v>
      </c>
      <c r="F47" s="28" t="s">
        <v>366</v>
      </c>
      <c r="G47" s="16">
        <v>120</v>
      </c>
      <c r="H47" s="28" t="s">
        <v>219</v>
      </c>
    </row>
    <row r="48" spans="1:8" x14ac:dyDescent="0.25">
      <c r="A48" s="29">
        <f t="shared" si="1"/>
        <v>6</v>
      </c>
      <c r="B48" s="29">
        <f t="shared" si="2"/>
        <v>279</v>
      </c>
      <c r="C48" s="27">
        <v>41191</v>
      </c>
      <c r="D48" s="28" t="s">
        <v>333</v>
      </c>
      <c r="E48" s="28" t="s">
        <v>359</v>
      </c>
      <c r="F48" s="28" t="s">
        <v>114</v>
      </c>
      <c r="G48" s="16">
        <v>120</v>
      </c>
      <c r="H48" s="28" t="s">
        <v>219</v>
      </c>
    </row>
    <row r="49" spans="1:8" x14ac:dyDescent="0.25">
      <c r="A49" s="29">
        <f t="shared" si="1"/>
        <v>2</v>
      </c>
      <c r="B49" s="29">
        <f t="shared" si="2"/>
        <v>281</v>
      </c>
      <c r="C49" s="27">
        <v>41193</v>
      </c>
      <c r="D49" s="28" t="s">
        <v>333</v>
      </c>
      <c r="E49" s="28" t="s">
        <v>353</v>
      </c>
      <c r="F49" s="28" t="s">
        <v>113</v>
      </c>
      <c r="G49" s="16">
        <v>120</v>
      </c>
      <c r="H49" s="28" t="s">
        <v>219</v>
      </c>
    </row>
    <row r="50" spans="1:8" x14ac:dyDescent="0.25">
      <c r="A50" s="29">
        <f t="shared" si="1"/>
        <v>12</v>
      </c>
      <c r="B50" s="29">
        <f t="shared" si="2"/>
        <v>293</v>
      </c>
      <c r="C50" s="27">
        <v>41205</v>
      </c>
      <c r="D50" s="28" t="s">
        <v>333</v>
      </c>
      <c r="E50" s="28" t="s">
        <v>359</v>
      </c>
      <c r="F50" s="28" t="s">
        <v>115</v>
      </c>
      <c r="G50" s="16">
        <v>120</v>
      </c>
      <c r="H50" s="28" t="s">
        <v>219</v>
      </c>
    </row>
    <row r="51" spans="1:8" ht="30" x14ac:dyDescent="0.25">
      <c r="A51" s="29">
        <f t="shared" si="1"/>
        <v>3</v>
      </c>
      <c r="B51" s="29">
        <f t="shared" si="2"/>
        <v>296</v>
      </c>
      <c r="C51" s="27">
        <v>41208</v>
      </c>
      <c r="D51" s="28" t="s">
        <v>370</v>
      </c>
      <c r="E51" s="28" t="s">
        <v>374</v>
      </c>
      <c r="F51" s="28" t="s">
        <v>59</v>
      </c>
      <c r="G51" s="16">
        <v>360</v>
      </c>
      <c r="H51" s="28" t="s">
        <v>219</v>
      </c>
    </row>
    <row r="52" spans="1:8" ht="30" x14ac:dyDescent="0.25">
      <c r="A52" s="29">
        <f t="shared" si="1"/>
        <v>7</v>
      </c>
      <c r="B52" s="29">
        <f t="shared" si="2"/>
        <v>303</v>
      </c>
      <c r="C52" s="27">
        <v>41216</v>
      </c>
      <c r="D52" s="28" t="s">
        <v>333</v>
      </c>
      <c r="E52" s="28" t="s">
        <v>353</v>
      </c>
      <c r="F52" s="25" t="s">
        <v>116</v>
      </c>
      <c r="G52" s="16">
        <v>30</v>
      </c>
      <c r="H52" s="28" t="s">
        <v>219</v>
      </c>
    </row>
    <row r="53" spans="1:8" ht="30" x14ac:dyDescent="0.25">
      <c r="A53" s="29">
        <f t="shared" si="1"/>
        <v>5</v>
      </c>
      <c r="B53" s="29">
        <f t="shared" si="2"/>
        <v>308</v>
      </c>
      <c r="C53" s="27">
        <v>41221</v>
      </c>
      <c r="D53" s="28" t="s">
        <v>406</v>
      </c>
      <c r="E53" s="28" t="s">
        <v>6</v>
      </c>
      <c r="F53" s="25" t="s">
        <v>117</v>
      </c>
      <c r="G53" s="16">
        <v>120</v>
      </c>
      <c r="H53" s="28" t="s">
        <v>219</v>
      </c>
    </row>
    <row r="55" spans="1:8" x14ac:dyDescent="0.25">
      <c r="A55" s="21" t="s">
        <v>183</v>
      </c>
    </row>
    <row r="56" spans="1:8" x14ac:dyDescent="0.25">
      <c r="A56" s="16" t="s">
        <v>217</v>
      </c>
    </row>
  </sheetData>
  <sheetProtection sheet="1" objects="1" scenarios="1"/>
  <pageMargins left="0.7" right="0.7" top="0.75" bottom="0.75" header="0.3" footer="0.3"/>
  <pageSetup paperSize="9" orientation="portrait" horizontalDpi="300" verticalDpi="0" copies="0" r:id="rId1"/>
  <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sheetPr>
  <dimension ref="B2:I52"/>
  <sheetViews>
    <sheetView topLeftCell="A6" zoomScaleNormal="100" workbookViewId="0">
      <selection activeCell="O49" sqref="O49"/>
    </sheetView>
  </sheetViews>
  <sheetFormatPr defaultRowHeight="15" x14ac:dyDescent="0.25"/>
  <cols>
    <col min="1" max="1" width="3" customWidth="1"/>
    <col min="2" max="2" width="10.42578125" bestFit="1" customWidth="1"/>
    <col min="3" max="3" width="12" bestFit="1" customWidth="1"/>
    <col min="4" max="4" width="10.42578125" bestFit="1" customWidth="1"/>
    <col min="5" max="5" width="9.140625" customWidth="1"/>
    <col min="6" max="6" width="10.42578125" bestFit="1" customWidth="1"/>
    <col min="7" max="7" width="12" bestFit="1" customWidth="1"/>
    <col min="8" max="8" width="10.42578125" bestFit="1" customWidth="1"/>
    <col min="9" max="9" width="20" bestFit="1" customWidth="1"/>
  </cols>
  <sheetData>
    <row r="2" spans="2:9" ht="15" customHeight="1" x14ac:dyDescent="0.25">
      <c r="B2" s="124" t="s">
        <v>181</v>
      </c>
      <c r="C2" s="125"/>
      <c r="D2" s="126"/>
      <c r="F2" s="123" t="s">
        <v>182</v>
      </c>
      <c r="G2" s="123"/>
      <c r="H2" s="123"/>
      <c r="I2" s="123"/>
    </row>
    <row r="3" spans="2:9" x14ac:dyDescent="0.25">
      <c r="B3" s="127"/>
      <c r="C3" s="128"/>
      <c r="D3" s="129"/>
      <c r="F3" s="123"/>
      <c r="G3" s="123"/>
      <c r="H3" s="123"/>
      <c r="I3" s="123"/>
    </row>
    <row r="4" spans="2:9" x14ac:dyDescent="0.25">
      <c r="B4" s="7" t="s">
        <v>165</v>
      </c>
      <c r="C4" s="7" t="s">
        <v>168</v>
      </c>
      <c r="D4" s="7" t="s">
        <v>5</v>
      </c>
      <c r="E4" s="2"/>
      <c r="F4" s="7" t="s">
        <v>165</v>
      </c>
      <c r="G4" s="7" t="s">
        <v>168</v>
      </c>
      <c r="H4" s="7" t="s">
        <v>5</v>
      </c>
      <c r="I4" s="7" t="s">
        <v>2</v>
      </c>
    </row>
    <row r="5" spans="2:9" x14ac:dyDescent="0.25">
      <c r="B5" s="8">
        <v>40908</v>
      </c>
      <c r="C5" s="8"/>
      <c r="D5" s="9"/>
      <c r="F5" s="8">
        <v>40908</v>
      </c>
      <c r="G5" s="8"/>
      <c r="H5" s="9"/>
      <c r="I5" s="9"/>
    </row>
    <row r="6" spans="2:9" x14ac:dyDescent="0.25">
      <c r="B6" s="6">
        <f t="shared" ref="B6:B49" si="0">DAYS360($F$5,D6)</f>
        <v>8</v>
      </c>
      <c r="C6" s="10">
        <v>1</v>
      </c>
      <c r="D6" s="5">
        <v>40916</v>
      </c>
      <c r="F6" s="6">
        <f t="shared" ref="F6:F52" si="1">DAYS360($F$5,H6)</f>
        <v>81</v>
      </c>
      <c r="G6" s="14">
        <v>1</v>
      </c>
      <c r="H6" s="5">
        <v>40989</v>
      </c>
      <c r="I6" s="6" t="s">
        <v>406</v>
      </c>
    </row>
    <row r="7" spans="2:9" x14ac:dyDescent="0.25">
      <c r="B7" s="6">
        <f t="shared" si="0"/>
        <v>10</v>
      </c>
      <c r="C7" s="10">
        <v>1</v>
      </c>
      <c r="D7" s="5">
        <v>40918</v>
      </c>
      <c r="F7" s="6">
        <f t="shared" si="1"/>
        <v>308</v>
      </c>
      <c r="G7" s="14">
        <v>1</v>
      </c>
      <c r="H7" s="5">
        <v>41221</v>
      </c>
      <c r="I7" s="6" t="s">
        <v>406</v>
      </c>
    </row>
    <row r="8" spans="2:9" x14ac:dyDescent="0.25">
      <c r="B8" s="6">
        <f t="shared" si="0"/>
        <v>11</v>
      </c>
      <c r="C8" s="10">
        <v>1</v>
      </c>
      <c r="D8" s="5">
        <v>40919</v>
      </c>
      <c r="F8" s="6">
        <f t="shared" si="1"/>
        <v>18</v>
      </c>
      <c r="G8" s="10">
        <v>2</v>
      </c>
      <c r="H8" s="5">
        <v>40926</v>
      </c>
      <c r="I8" s="6" t="s">
        <v>409</v>
      </c>
    </row>
    <row r="9" spans="2:9" x14ac:dyDescent="0.25">
      <c r="B9" s="6">
        <f t="shared" si="0"/>
        <v>12</v>
      </c>
      <c r="C9" s="10">
        <v>1</v>
      </c>
      <c r="D9" s="5">
        <v>40920</v>
      </c>
      <c r="F9" s="6">
        <f t="shared" si="1"/>
        <v>68</v>
      </c>
      <c r="G9" s="10">
        <v>1</v>
      </c>
      <c r="H9" s="5">
        <v>40976</v>
      </c>
      <c r="I9" s="6" t="s">
        <v>333</v>
      </c>
    </row>
    <row r="10" spans="2:9" x14ac:dyDescent="0.25">
      <c r="B10" s="6">
        <f t="shared" si="0"/>
        <v>17</v>
      </c>
      <c r="C10" s="10">
        <v>1</v>
      </c>
      <c r="D10" s="5">
        <v>40925</v>
      </c>
      <c r="F10" s="6">
        <f t="shared" si="1"/>
        <v>72</v>
      </c>
      <c r="G10" s="10">
        <v>1</v>
      </c>
      <c r="H10" s="5">
        <v>40980</v>
      </c>
      <c r="I10" s="6" t="s">
        <v>333</v>
      </c>
    </row>
    <row r="11" spans="2:9" x14ac:dyDescent="0.25">
      <c r="B11" s="6">
        <f t="shared" si="0"/>
        <v>18</v>
      </c>
      <c r="C11" s="10">
        <v>2</v>
      </c>
      <c r="D11" s="5">
        <v>40926</v>
      </c>
      <c r="F11" s="6">
        <f t="shared" si="1"/>
        <v>81</v>
      </c>
      <c r="G11" s="10">
        <v>1</v>
      </c>
      <c r="H11" s="5">
        <v>40989</v>
      </c>
      <c r="I11" s="6" t="s">
        <v>333</v>
      </c>
    </row>
    <row r="12" spans="2:9" x14ac:dyDescent="0.25">
      <c r="B12" s="6">
        <f t="shared" si="0"/>
        <v>22</v>
      </c>
      <c r="C12" s="10">
        <v>1</v>
      </c>
      <c r="D12" s="5">
        <v>40930</v>
      </c>
      <c r="F12" s="6">
        <f t="shared" si="1"/>
        <v>99</v>
      </c>
      <c r="G12" s="14">
        <v>1</v>
      </c>
      <c r="H12" s="5">
        <v>41008</v>
      </c>
      <c r="I12" s="6" t="s">
        <v>333</v>
      </c>
    </row>
    <row r="13" spans="2:9" x14ac:dyDescent="0.25">
      <c r="B13" s="6">
        <f t="shared" si="0"/>
        <v>27</v>
      </c>
      <c r="C13" s="10">
        <v>2</v>
      </c>
      <c r="D13" s="5">
        <v>40935</v>
      </c>
      <c r="F13" s="6">
        <f t="shared" si="1"/>
        <v>106</v>
      </c>
      <c r="G13" s="14">
        <v>1</v>
      </c>
      <c r="H13" s="5">
        <v>41015</v>
      </c>
      <c r="I13" s="6" t="s">
        <v>333</v>
      </c>
    </row>
    <row r="14" spans="2:9" x14ac:dyDescent="0.25">
      <c r="B14" s="6">
        <f t="shared" si="0"/>
        <v>28</v>
      </c>
      <c r="C14" s="10">
        <v>1</v>
      </c>
      <c r="D14" s="5">
        <v>40936</v>
      </c>
      <c r="F14" s="6">
        <f t="shared" si="1"/>
        <v>108</v>
      </c>
      <c r="G14" s="14">
        <v>1</v>
      </c>
      <c r="H14" s="5">
        <v>41017</v>
      </c>
      <c r="I14" s="6" t="s">
        <v>333</v>
      </c>
    </row>
    <row r="15" spans="2:9" x14ac:dyDescent="0.25">
      <c r="B15" s="6">
        <f t="shared" si="0"/>
        <v>33</v>
      </c>
      <c r="C15" s="10">
        <v>1</v>
      </c>
      <c r="D15" s="5">
        <v>40942</v>
      </c>
      <c r="F15" s="6">
        <f t="shared" si="1"/>
        <v>117</v>
      </c>
      <c r="G15" s="14">
        <v>1</v>
      </c>
      <c r="H15" s="5">
        <v>41026</v>
      </c>
      <c r="I15" s="6" t="s">
        <v>333</v>
      </c>
    </row>
    <row r="16" spans="2:9" x14ac:dyDescent="0.25">
      <c r="B16" s="6">
        <f t="shared" si="0"/>
        <v>36</v>
      </c>
      <c r="C16" s="10">
        <v>1</v>
      </c>
      <c r="D16" s="5">
        <v>40945</v>
      </c>
      <c r="F16" s="6">
        <f t="shared" si="1"/>
        <v>144</v>
      </c>
      <c r="G16" s="14">
        <v>1</v>
      </c>
      <c r="H16" s="5">
        <v>41053</v>
      </c>
      <c r="I16" s="6" t="s">
        <v>333</v>
      </c>
    </row>
    <row r="17" spans="2:9" x14ac:dyDescent="0.25">
      <c r="B17" s="6">
        <f t="shared" si="0"/>
        <v>59</v>
      </c>
      <c r="C17" s="10">
        <v>1</v>
      </c>
      <c r="D17" s="5">
        <v>40968</v>
      </c>
      <c r="F17" s="6">
        <f t="shared" si="1"/>
        <v>159</v>
      </c>
      <c r="G17" s="14">
        <v>1</v>
      </c>
      <c r="H17" s="5">
        <v>41069</v>
      </c>
      <c r="I17" s="6" t="s">
        <v>333</v>
      </c>
    </row>
    <row r="18" spans="2:9" x14ac:dyDescent="0.25">
      <c r="B18" s="6">
        <f t="shared" si="0"/>
        <v>63</v>
      </c>
      <c r="C18" s="10">
        <v>1</v>
      </c>
      <c r="D18" s="5">
        <v>40971</v>
      </c>
      <c r="F18" s="6">
        <f t="shared" si="1"/>
        <v>163</v>
      </c>
      <c r="G18" s="14">
        <v>1</v>
      </c>
      <c r="H18" s="5">
        <v>41073</v>
      </c>
      <c r="I18" s="6" t="s">
        <v>333</v>
      </c>
    </row>
    <row r="19" spans="2:9" x14ac:dyDescent="0.25">
      <c r="B19" s="6">
        <f t="shared" si="0"/>
        <v>64</v>
      </c>
      <c r="C19" s="10">
        <v>1</v>
      </c>
      <c r="D19" s="5">
        <v>40972</v>
      </c>
      <c r="F19" s="6">
        <f t="shared" si="1"/>
        <v>171</v>
      </c>
      <c r="G19" s="14">
        <v>1</v>
      </c>
      <c r="H19" s="5">
        <v>41081</v>
      </c>
      <c r="I19" s="6" t="s">
        <v>333</v>
      </c>
    </row>
    <row r="20" spans="2:9" x14ac:dyDescent="0.25">
      <c r="B20" s="6">
        <f t="shared" si="0"/>
        <v>68</v>
      </c>
      <c r="C20" s="10">
        <v>1</v>
      </c>
      <c r="D20" s="5">
        <v>40976</v>
      </c>
      <c r="F20" s="6">
        <f t="shared" si="1"/>
        <v>173</v>
      </c>
      <c r="G20" s="14">
        <v>1</v>
      </c>
      <c r="H20" s="5">
        <v>41083</v>
      </c>
      <c r="I20" s="6" t="s">
        <v>333</v>
      </c>
    </row>
    <row r="21" spans="2:9" x14ac:dyDescent="0.25">
      <c r="B21" s="6">
        <f t="shared" si="0"/>
        <v>72</v>
      </c>
      <c r="C21" s="10">
        <v>1</v>
      </c>
      <c r="D21" s="5">
        <v>40980</v>
      </c>
      <c r="F21" s="6">
        <f t="shared" si="1"/>
        <v>279</v>
      </c>
      <c r="G21" s="14">
        <v>1</v>
      </c>
      <c r="H21" s="5">
        <v>41191</v>
      </c>
      <c r="I21" s="6" t="s">
        <v>333</v>
      </c>
    </row>
    <row r="22" spans="2:9" x14ac:dyDescent="0.25">
      <c r="B22" s="6">
        <f t="shared" si="0"/>
        <v>75</v>
      </c>
      <c r="C22" s="10">
        <v>1</v>
      </c>
      <c r="D22" s="5">
        <v>40983</v>
      </c>
      <c r="F22" s="6">
        <f t="shared" si="1"/>
        <v>281</v>
      </c>
      <c r="G22" s="14">
        <v>1</v>
      </c>
      <c r="H22" s="5">
        <v>41193</v>
      </c>
      <c r="I22" s="6" t="s">
        <v>333</v>
      </c>
    </row>
    <row r="23" spans="2:9" x14ac:dyDescent="0.25">
      <c r="B23" s="6">
        <f t="shared" si="0"/>
        <v>81</v>
      </c>
      <c r="C23" s="10">
        <v>2</v>
      </c>
      <c r="D23" s="5">
        <v>40989</v>
      </c>
      <c r="F23" s="6">
        <f t="shared" si="1"/>
        <v>293</v>
      </c>
      <c r="G23" s="14">
        <v>1</v>
      </c>
      <c r="H23" s="5">
        <v>41205</v>
      </c>
      <c r="I23" s="6" t="s">
        <v>333</v>
      </c>
    </row>
    <row r="24" spans="2:9" x14ac:dyDescent="0.25">
      <c r="B24" s="6">
        <f t="shared" si="0"/>
        <v>99</v>
      </c>
      <c r="C24" s="10">
        <v>1</v>
      </c>
      <c r="D24" s="5">
        <v>41008</v>
      </c>
      <c r="F24" s="6">
        <f t="shared" si="1"/>
        <v>303</v>
      </c>
      <c r="G24" s="14">
        <v>1</v>
      </c>
      <c r="H24" s="5">
        <v>41216</v>
      </c>
      <c r="I24" s="6" t="s">
        <v>333</v>
      </c>
    </row>
    <row r="25" spans="2:9" x14ac:dyDescent="0.25">
      <c r="B25" s="6">
        <f t="shared" si="0"/>
        <v>106</v>
      </c>
      <c r="C25" s="10">
        <v>1</v>
      </c>
      <c r="D25" s="5">
        <v>41015</v>
      </c>
      <c r="F25" s="6">
        <f t="shared" si="1"/>
        <v>8</v>
      </c>
      <c r="G25" s="10">
        <v>1</v>
      </c>
      <c r="H25" s="5">
        <v>40916</v>
      </c>
      <c r="I25" s="6" t="s">
        <v>342</v>
      </c>
    </row>
    <row r="26" spans="2:9" x14ac:dyDescent="0.25">
      <c r="B26" s="6">
        <f t="shared" si="0"/>
        <v>108</v>
      </c>
      <c r="C26" s="10">
        <v>1</v>
      </c>
      <c r="D26" s="5">
        <v>41017</v>
      </c>
      <c r="F26" s="6">
        <f t="shared" si="1"/>
        <v>10</v>
      </c>
      <c r="G26" s="10">
        <v>1</v>
      </c>
      <c r="H26" s="5">
        <v>40918</v>
      </c>
      <c r="I26" s="6" t="s">
        <v>342</v>
      </c>
    </row>
    <row r="27" spans="2:9" x14ac:dyDescent="0.25">
      <c r="B27" s="6">
        <f t="shared" si="0"/>
        <v>113</v>
      </c>
      <c r="C27" s="10">
        <v>1</v>
      </c>
      <c r="D27" s="5">
        <v>41022</v>
      </c>
      <c r="F27" s="6">
        <f t="shared" si="1"/>
        <v>11</v>
      </c>
      <c r="G27" s="10">
        <v>1</v>
      </c>
      <c r="H27" s="5">
        <v>40919</v>
      </c>
      <c r="I27" s="6" t="s">
        <v>342</v>
      </c>
    </row>
    <row r="28" spans="2:9" x14ac:dyDescent="0.25">
      <c r="B28" s="6">
        <f t="shared" si="0"/>
        <v>117</v>
      </c>
      <c r="C28" s="10">
        <v>1</v>
      </c>
      <c r="D28" s="5">
        <v>41026</v>
      </c>
      <c r="F28" s="6">
        <f t="shared" si="1"/>
        <v>12</v>
      </c>
      <c r="G28" s="10">
        <v>1</v>
      </c>
      <c r="H28" s="5">
        <v>40920</v>
      </c>
      <c r="I28" s="6" t="s">
        <v>342</v>
      </c>
    </row>
    <row r="29" spans="2:9" x14ac:dyDescent="0.25">
      <c r="B29" s="6">
        <f t="shared" si="0"/>
        <v>118</v>
      </c>
      <c r="C29" s="10">
        <v>1</v>
      </c>
      <c r="D29" s="5">
        <v>41027</v>
      </c>
      <c r="F29" s="6">
        <f t="shared" si="1"/>
        <v>22</v>
      </c>
      <c r="G29" s="10">
        <v>1</v>
      </c>
      <c r="H29" s="5">
        <v>40930</v>
      </c>
      <c r="I29" s="6" t="s">
        <v>342</v>
      </c>
    </row>
    <row r="30" spans="2:9" x14ac:dyDescent="0.25">
      <c r="B30" s="6">
        <f t="shared" si="0"/>
        <v>138</v>
      </c>
      <c r="C30" s="10">
        <v>1</v>
      </c>
      <c r="D30" s="5">
        <v>41047</v>
      </c>
      <c r="F30" s="6">
        <f t="shared" si="1"/>
        <v>28</v>
      </c>
      <c r="G30" s="10">
        <v>1</v>
      </c>
      <c r="H30" s="5">
        <v>40936</v>
      </c>
      <c r="I30" s="6" t="s">
        <v>342</v>
      </c>
    </row>
    <row r="31" spans="2:9" x14ac:dyDescent="0.25">
      <c r="B31" s="6">
        <f t="shared" si="0"/>
        <v>144</v>
      </c>
      <c r="C31" s="10">
        <v>1</v>
      </c>
      <c r="D31" s="5">
        <v>41053</v>
      </c>
      <c r="F31" s="6">
        <f t="shared" si="1"/>
        <v>33</v>
      </c>
      <c r="G31" s="10">
        <v>1</v>
      </c>
      <c r="H31" s="5">
        <v>40942</v>
      </c>
      <c r="I31" s="6" t="s">
        <v>342</v>
      </c>
    </row>
    <row r="32" spans="2:9" x14ac:dyDescent="0.25">
      <c r="B32" s="6">
        <f t="shared" si="0"/>
        <v>159</v>
      </c>
      <c r="C32" s="10">
        <v>1</v>
      </c>
      <c r="D32" s="5">
        <v>41069</v>
      </c>
      <c r="F32" s="6">
        <f t="shared" si="1"/>
        <v>36</v>
      </c>
      <c r="G32" s="10">
        <v>1</v>
      </c>
      <c r="H32" s="5">
        <v>40945</v>
      </c>
      <c r="I32" s="6" t="s">
        <v>342</v>
      </c>
    </row>
    <row r="33" spans="2:9" x14ac:dyDescent="0.25">
      <c r="B33" s="6">
        <f t="shared" si="0"/>
        <v>160</v>
      </c>
      <c r="C33" s="10">
        <v>1</v>
      </c>
      <c r="D33" s="5">
        <v>41070</v>
      </c>
      <c r="F33" s="6">
        <f t="shared" si="1"/>
        <v>59</v>
      </c>
      <c r="G33" s="10">
        <v>1</v>
      </c>
      <c r="H33" s="5">
        <v>40968</v>
      </c>
      <c r="I33" s="6" t="s">
        <v>342</v>
      </c>
    </row>
    <row r="34" spans="2:9" x14ac:dyDescent="0.25">
      <c r="B34" s="6">
        <f t="shared" si="0"/>
        <v>163</v>
      </c>
      <c r="C34" s="10">
        <v>1</v>
      </c>
      <c r="D34" s="5">
        <v>41073</v>
      </c>
      <c r="F34" s="6">
        <f t="shared" si="1"/>
        <v>63</v>
      </c>
      <c r="G34" s="10">
        <v>1</v>
      </c>
      <c r="H34" s="5">
        <v>40971</v>
      </c>
      <c r="I34" s="6" t="s">
        <v>342</v>
      </c>
    </row>
    <row r="35" spans="2:9" x14ac:dyDescent="0.25">
      <c r="B35" s="6">
        <f t="shared" si="0"/>
        <v>171</v>
      </c>
      <c r="C35" s="10">
        <v>1</v>
      </c>
      <c r="D35" s="5">
        <v>41081</v>
      </c>
      <c r="F35" s="6">
        <f t="shared" si="1"/>
        <v>64</v>
      </c>
      <c r="G35" s="10">
        <v>1</v>
      </c>
      <c r="H35" s="5">
        <v>40972</v>
      </c>
      <c r="I35" s="6" t="s">
        <v>342</v>
      </c>
    </row>
    <row r="36" spans="2:9" x14ac:dyDescent="0.25">
      <c r="B36" s="6">
        <f t="shared" si="0"/>
        <v>173</v>
      </c>
      <c r="C36" s="10">
        <v>1</v>
      </c>
      <c r="D36" s="5">
        <v>41083</v>
      </c>
      <c r="F36" s="6">
        <f t="shared" si="1"/>
        <v>75</v>
      </c>
      <c r="G36" s="10">
        <v>1</v>
      </c>
      <c r="H36" s="5">
        <v>40983</v>
      </c>
      <c r="I36" s="6" t="s">
        <v>342</v>
      </c>
    </row>
    <row r="37" spans="2:9" x14ac:dyDescent="0.25">
      <c r="B37" s="6">
        <f t="shared" si="0"/>
        <v>189</v>
      </c>
      <c r="C37" s="10">
        <v>1</v>
      </c>
      <c r="D37" s="5">
        <v>41099</v>
      </c>
      <c r="F37" s="6">
        <f t="shared" si="1"/>
        <v>113</v>
      </c>
      <c r="G37" s="14">
        <v>1</v>
      </c>
      <c r="H37" s="5">
        <v>41022</v>
      </c>
      <c r="I37" s="6" t="s">
        <v>342</v>
      </c>
    </row>
    <row r="38" spans="2:9" x14ac:dyDescent="0.25">
      <c r="B38" s="6">
        <f t="shared" si="0"/>
        <v>190</v>
      </c>
      <c r="C38" s="10">
        <v>1</v>
      </c>
      <c r="D38" s="5">
        <v>41100</v>
      </c>
      <c r="F38" s="6">
        <f t="shared" si="1"/>
        <v>138</v>
      </c>
      <c r="G38" s="14">
        <v>1</v>
      </c>
      <c r="H38" s="5">
        <v>41047</v>
      </c>
      <c r="I38" s="6" t="s">
        <v>342</v>
      </c>
    </row>
    <row r="39" spans="2:9" x14ac:dyDescent="0.25">
      <c r="B39" s="6">
        <f t="shared" si="0"/>
        <v>192</v>
      </c>
      <c r="C39" s="10">
        <v>1</v>
      </c>
      <c r="D39" s="5">
        <v>41102</v>
      </c>
      <c r="F39" s="6">
        <f t="shared" si="1"/>
        <v>160</v>
      </c>
      <c r="G39" s="14">
        <v>1</v>
      </c>
      <c r="H39" s="5">
        <v>41070</v>
      </c>
      <c r="I39" s="6" t="s">
        <v>342</v>
      </c>
    </row>
    <row r="40" spans="2:9" x14ac:dyDescent="0.25">
      <c r="B40" s="6">
        <f t="shared" si="0"/>
        <v>196</v>
      </c>
      <c r="C40" s="10">
        <v>1</v>
      </c>
      <c r="D40" s="5">
        <v>41106</v>
      </c>
      <c r="F40" s="6">
        <f t="shared" si="1"/>
        <v>189</v>
      </c>
      <c r="G40" s="14">
        <v>1</v>
      </c>
      <c r="H40" s="5">
        <v>41099</v>
      </c>
      <c r="I40" s="6" t="s">
        <v>342</v>
      </c>
    </row>
    <row r="41" spans="2:9" x14ac:dyDescent="0.25">
      <c r="B41" s="6">
        <f t="shared" si="0"/>
        <v>257</v>
      </c>
      <c r="C41" s="6">
        <v>2</v>
      </c>
      <c r="D41" s="5">
        <v>41169</v>
      </c>
      <c r="F41" s="6">
        <f t="shared" si="1"/>
        <v>257</v>
      </c>
      <c r="G41" s="14">
        <v>1</v>
      </c>
      <c r="H41" s="5">
        <v>41169</v>
      </c>
      <c r="I41" s="6" t="s">
        <v>342</v>
      </c>
    </row>
    <row r="42" spans="2:9" x14ac:dyDescent="0.25">
      <c r="B42" s="6">
        <f t="shared" si="0"/>
        <v>262</v>
      </c>
      <c r="C42" s="14">
        <v>1</v>
      </c>
      <c r="D42" s="5">
        <v>41174</v>
      </c>
      <c r="F42" s="6">
        <f t="shared" si="1"/>
        <v>262</v>
      </c>
      <c r="G42" s="14">
        <v>1</v>
      </c>
      <c r="H42" s="5">
        <v>41174</v>
      </c>
      <c r="I42" s="6" t="s">
        <v>342</v>
      </c>
    </row>
    <row r="43" spans="2:9" x14ac:dyDescent="0.25">
      <c r="B43" s="6">
        <f t="shared" si="0"/>
        <v>273</v>
      </c>
      <c r="C43" s="14">
        <v>1</v>
      </c>
      <c r="D43" s="5">
        <v>41185</v>
      </c>
      <c r="F43" s="6">
        <f t="shared" si="1"/>
        <v>273</v>
      </c>
      <c r="G43" s="14">
        <v>1</v>
      </c>
      <c r="H43" s="5">
        <v>41185</v>
      </c>
      <c r="I43" s="6" t="s">
        <v>342</v>
      </c>
    </row>
    <row r="44" spans="2:9" x14ac:dyDescent="0.25">
      <c r="B44" s="6">
        <f t="shared" si="0"/>
        <v>279</v>
      </c>
      <c r="C44" s="14">
        <v>1</v>
      </c>
      <c r="D44" s="5">
        <v>41191</v>
      </c>
      <c r="F44" s="6">
        <f t="shared" si="1"/>
        <v>17</v>
      </c>
      <c r="G44" s="10">
        <v>1</v>
      </c>
      <c r="H44" s="5">
        <v>40925</v>
      </c>
      <c r="I44" s="6" t="s">
        <v>385</v>
      </c>
    </row>
    <row r="45" spans="2:9" x14ac:dyDescent="0.25">
      <c r="B45" s="6">
        <f t="shared" si="0"/>
        <v>281</v>
      </c>
      <c r="C45" s="14">
        <v>1</v>
      </c>
      <c r="D45" s="5">
        <v>41193</v>
      </c>
      <c r="F45" s="6">
        <f t="shared" si="1"/>
        <v>27</v>
      </c>
      <c r="G45" s="10">
        <v>1</v>
      </c>
      <c r="H45" s="5">
        <v>40935</v>
      </c>
      <c r="I45" s="6" t="s">
        <v>385</v>
      </c>
    </row>
    <row r="46" spans="2:9" x14ac:dyDescent="0.25">
      <c r="B46" s="6">
        <f t="shared" si="0"/>
        <v>293</v>
      </c>
      <c r="C46" s="14">
        <v>1</v>
      </c>
      <c r="D46" s="5">
        <v>41205</v>
      </c>
      <c r="F46" s="6">
        <f t="shared" si="1"/>
        <v>118</v>
      </c>
      <c r="G46" s="14">
        <v>1</v>
      </c>
      <c r="H46" s="5">
        <v>41027</v>
      </c>
      <c r="I46" s="6" t="s">
        <v>385</v>
      </c>
    </row>
    <row r="47" spans="2:9" x14ac:dyDescent="0.25">
      <c r="B47" s="6">
        <f t="shared" si="0"/>
        <v>296</v>
      </c>
      <c r="C47" s="14">
        <v>1</v>
      </c>
      <c r="D47" s="5">
        <v>41208</v>
      </c>
      <c r="F47" s="6">
        <f t="shared" si="1"/>
        <v>27</v>
      </c>
      <c r="G47" s="10">
        <v>1</v>
      </c>
      <c r="H47" s="5">
        <v>40935</v>
      </c>
      <c r="I47" s="6" t="s">
        <v>370</v>
      </c>
    </row>
    <row r="48" spans="2:9" x14ac:dyDescent="0.25">
      <c r="B48" s="6">
        <f t="shared" si="0"/>
        <v>303</v>
      </c>
      <c r="C48" s="14">
        <v>1</v>
      </c>
      <c r="D48" s="5">
        <v>41216</v>
      </c>
      <c r="F48" s="6">
        <f t="shared" si="1"/>
        <v>190</v>
      </c>
      <c r="G48" s="14">
        <v>1</v>
      </c>
      <c r="H48" s="5">
        <v>41100</v>
      </c>
      <c r="I48" s="6" t="s">
        <v>370</v>
      </c>
    </row>
    <row r="49" spans="2:9" x14ac:dyDescent="0.25">
      <c r="B49" s="6">
        <f t="shared" si="0"/>
        <v>308</v>
      </c>
      <c r="C49" s="14">
        <v>1</v>
      </c>
      <c r="D49" s="5">
        <v>41221</v>
      </c>
      <c r="F49" s="6">
        <f t="shared" si="1"/>
        <v>192</v>
      </c>
      <c r="G49" s="14">
        <v>1</v>
      </c>
      <c r="H49" s="5">
        <v>41102</v>
      </c>
      <c r="I49" s="6" t="s">
        <v>370</v>
      </c>
    </row>
    <row r="50" spans="2:9" x14ac:dyDescent="0.25">
      <c r="B50" s="3"/>
      <c r="F50" s="6">
        <f t="shared" si="1"/>
        <v>196</v>
      </c>
      <c r="G50" s="14">
        <v>1</v>
      </c>
      <c r="H50" s="5">
        <v>41106</v>
      </c>
      <c r="I50" s="6" t="s">
        <v>370</v>
      </c>
    </row>
    <row r="51" spans="2:9" x14ac:dyDescent="0.25">
      <c r="B51" s="3"/>
      <c r="F51" s="6">
        <f t="shared" si="1"/>
        <v>257</v>
      </c>
      <c r="G51" s="14">
        <v>1</v>
      </c>
      <c r="H51" s="5">
        <v>41169</v>
      </c>
      <c r="I51" s="6" t="s">
        <v>370</v>
      </c>
    </row>
    <row r="52" spans="2:9" x14ac:dyDescent="0.25">
      <c r="F52" s="6">
        <f t="shared" si="1"/>
        <v>296</v>
      </c>
      <c r="G52" s="14">
        <v>1</v>
      </c>
      <c r="H52" s="5">
        <v>41208</v>
      </c>
      <c r="I52" s="6" t="s">
        <v>370</v>
      </c>
    </row>
  </sheetData>
  <sheetProtection sheet="1" objects="1" scenarios="1"/>
  <sortState ref="F6:I52">
    <sortCondition ref="I6:I52"/>
  </sortState>
  <mergeCells count="2">
    <mergeCell ref="B2:D3"/>
    <mergeCell ref="F2:I3"/>
  </mergeCells>
  <pageMargins left="0.7" right="0.7" top="0.75" bottom="0.75" header="0.3" footer="0.3"/>
  <pageSetup paperSize="9" orientation="portrait" horizontalDpi="300" verticalDpi="0" copies="0" r:id="rId1"/>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7030A0"/>
  </sheetPr>
  <dimension ref="B2:AG71"/>
  <sheetViews>
    <sheetView zoomScale="85" zoomScaleNormal="85" workbookViewId="0">
      <selection activeCell="U53" sqref="U53"/>
    </sheetView>
  </sheetViews>
  <sheetFormatPr defaultRowHeight="15" x14ac:dyDescent="0.25"/>
  <cols>
    <col min="1" max="1" width="3" customWidth="1"/>
    <col min="2" max="2" width="10.42578125" bestFit="1" customWidth="1"/>
    <col min="3" max="3" width="12" bestFit="1" customWidth="1"/>
    <col min="4" max="4" width="10.42578125" bestFit="1" customWidth="1"/>
    <col min="5" max="5" width="20" bestFit="1" customWidth="1"/>
    <col min="7" max="7" width="10.85546875" bestFit="1" customWidth="1"/>
    <col min="8" max="8" width="14.85546875" bestFit="1" customWidth="1"/>
    <col min="9" max="10" width="10.7109375" bestFit="1" customWidth="1"/>
    <col min="11" max="11" width="10.7109375" customWidth="1"/>
    <col min="12" max="12" width="12.28515625" bestFit="1" customWidth="1"/>
    <col min="13" max="13" width="13.7109375" bestFit="1" customWidth="1"/>
    <col min="14" max="14" width="12" bestFit="1" customWidth="1"/>
    <col min="15" max="16" width="10.7109375" customWidth="1"/>
    <col min="17" max="17" width="14" bestFit="1" customWidth="1"/>
    <col min="19" max="20" width="10.42578125" bestFit="1" customWidth="1"/>
    <col min="21" max="21" width="20.42578125" bestFit="1" customWidth="1"/>
    <col min="23" max="23" width="10.85546875" bestFit="1" customWidth="1"/>
    <col min="24" max="24" width="14.85546875" bestFit="1" customWidth="1"/>
    <col min="25" max="25" width="12" bestFit="1" customWidth="1"/>
    <col min="26" max="26" width="11.42578125" bestFit="1" customWidth="1"/>
    <col min="27" max="27" width="11.42578125" customWidth="1"/>
    <col min="28" max="28" width="12.28515625" bestFit="1" customWidth="1"/>
    <col min="29" max="29" width="13.7109375" bestFit="1" customWidth="1"/>
    <col min="30" max="32" width="11.42578125" customWidth="1"/>
    <col min="33" max="33" width="14" bestFit="1" customWidth="1"/>
  </cols>
  <sheetData>
    <row r="2" spans="2:33" ht="15" customHeight="1" x14ac:dyDescent="0.25">
      <c r="B2" s="123" t="s">
        <v>241</v>
      </c>
      <c r="C2" s="123"/>
      <c r="D2" s="123"/>
      <c r="E2" s="123"/>
      <c r="F2" s="123"/>
      <c r="G2" s="123"/>
      <c r="H2" s="123"/>
      <c r="I2" s="123"/>
      <c r="J2" s="123"/>
      <c r="K2" s="123"/>
      <c r="L2" s="123"/>
      <c r="M2" s="123"/>
      <c r="N2" s="123"/>
      <c r="O2" s="123"/>
      <c r="P2" s="123"/>
      <c r="Q2" s="123"/>
      <c r="S2" s="124" t="s">
        <v>245</v>
      </c>
      <c r="T2" s="125"/>
      <c r="U2" s="125"/>
      <c r="V2" s="125"/>
      <c r="W2" s="125"/>
      <c r="X2" s="125"/>
      <c r="Y2" s="125"/>
      <c r="Z2" s="125"/>
      <c r="AA2" s="125"/>
      <c r="AB2" s="125"/>
      <c r="AC2" s="125"/>
      <c r="AD2" s="125"/>
      <c r="AE2" s="125"/>
      <c r="AF2" s="125"/>
      <c r="AG2" s="126"/>
    </row>
    <row r="3" spans="2:33" x14ac:dyDescent="0.25">
      <c r="B3" s="123"/>
      <c r="C3" s="123"/>
      <c r="D3" s="123"/>
      <c r="E3" s="123"/>
      <c r="F3" s="123"/>
      <c r="G3" s="123"/>
      <c r="H3" s="123"/>
      <c r="I3" s="123"/>
      <c r="J3" s="123"/>
      <c r="K3" s="123"/>
      <c r="L3" s="123"/>
      <c r="M3" s="123"/>
      <c r="N3" s="123"/>
      <c r="O3" s="123"/>
      <c r="P3" s="123"/>
      <c r="Q3" s="123"/>
      <c r="S3" s="127"/>
      <c r="T3" s="128"/>
      <c r="U3" s="128"/>
      <c r="V3" s="128"/>
      <c r="W3" s="128"/>
      <c r="X3" s="128"/>
      <c r="Y3" s="128"/>
      <c r="Z3" s="128"/>
      <c r="AA3" s="128"/>
      <c r="AB3" s="128"/>
      <c r="AC3" s="128"/>
      <c r="AD3" s="128"/>
      <c r="AE3" s="128"/>
      <c r="AF3" s="128"/>
      <c r="AG3" s="129"/>
    </row>
    <row r="4" spans="2:33" x14ac:dyDescent="0.25">
      <c r="B4" s="7" t="s">
        <v>165</v>
      </c>
      <c r="C4" s="7" t="s">
        <v>168</v>
      </c>
      <c r="D4" s="7" t="s">
        <v>5</v>
      </c>
      <c r="E4" s="7" t="s">
        <v>2</v>
      </c>
      <c r="F4" s="7" t="s">
        <v>185</v>
      </c>
      <c r="G4" s="7" t="s">
        <v>191</v>
      </c>
      <c r="H4" s="7" t="s">
        <v>192</v>
      </c>
      <c r="I4" s="7" t="s">
        <v>194</v>
      </c>
      <c r="J4" s="7" t="s">
        <v>194</v>
      </c>
      <c r="K4" s="7" t="s">
        <v>223</v>
      </c>
      <c r="L4" s="7" t="s">
        <v>238</v>
      </c>
      <c r="M4" s="7" t="s">
        <v>236</v>
      </c>
      <c r="N4" s="41" t="s">
        <v>208</v>
      </c>
      <c r="O4" s="41" t="s">
        <v>230</v>
      </c>
      <c r="P4" s="41" t="s">
        <v>231</v>
      </c>
      <c r="Q4" s="41" t="s">
        <v>211</v>
      </c>
      <c r="S4" s="7" t="s">
        <v>165</v>
      </c>
      <c r="T4" s="7" t="s">
        <v>5</v>
      </c>
      <c r="U4" s="7" t="s">
        <v>197</v>
      </c>
      <c r="V4" s="7" t="s">
        <v>185</v>
      </c>
      <c r="W4" s="7" t="s">
        <v>191</v>
      </c>
      <c r="X4" s="7" t="s">
        <v>192</v>
      </c>
      <c r="Y4" s="7" t="s">
        <v>198</v>
      </c>
      <c r="Z4" s="7" t="s">
        <v>198</v>
      </c>
      <c r="AA4" s="7" t="s">
        <v>224</v>
      </c>
      <c r="AB4" s="7" t="s">
        <v>238</v>
      </c>
      <c r="AC4" s="7" t="s">
        <v>236</v>
      </c>
      <c r="AD4" s="41" t="s">
        <v>208</v>
      </c>
      <c r="AE4" s="41" t="s">
        <v>230</v>
      </c>
      <c r="AF4" s="41" t="s">
        <v>231</v>
      </c>
      <c r="AG4" s="41" t="s">
        <v>211</v>
      </c>
    </row>
    <row r="5" spans="2:33" x14ac:dyDescent="0.25">
      <c r="B5" s="8">
        <v>40908</v>
      </c>
      <c r="C5" s="8"/>
      <c r="D5" s="9"/>
      <c r="E5" s="9"/>
      <c r="F5" s="9" t="s">
        <v>187</v>
      </c>
      <c r="G5" s="9"/>
      <c r="H5" s="9" t="s">
        <v>187</v>
      </c>
      <c r="I5" s="9" t="s">
        <v>187</v>
      </c>
      <c r="J5" s="9" t="s">
        <v>199</v>
      </c>
      <c r="K5" s="9" t="s">
        <v>187</v>
      </c>
      <c r="L5" s="9" t="s">
        <v>237</v>
      </c>
      <c r="M5" s="9" t="s">
        <v>237</v>
      </c>
      <c r="N5" s="42" t="s">
        <v>233</v>
      </c>
      <c r="O5" s="42" t="s">
        <v>233</v>
      </c>
      <c r="P5" s="42" t="s">
        <v>233</v>
      </c>
      <c r="Q5" s="42" t="s">
        <v>233</v>
      </c>
      <c r="S5" s="8">
        <v>41639</v>
      </c>
      <c r="T5" s="9"/>
      <c r="U5" s="9"/>
      <c r="V5" s="9" t="s">
        <v>187</v>
      </c>
      <c r="W5" s="9"/>
      <c r="X5" s="9" t="s">
        <v>187</v>
      </c>
      <c r="Y5" s="9" t="s">
        <v>187</v>
      </c>
      <c r="Z5" s="9" t="s">
        <v>199</v>
      </c>
      <c r="AA5" s="9" t="s">
        <v>187</v>
      </c>
      <c r="AB5" s="9" t="s">
        <v>237</v>
      </c>
      <c r="AC5" s="9" t="s">
        <v>237</v>
      </c>
      <c r="AD5" s="42" t="s">
        <v>233</v>
      </c>
      <c r="AE5" s="42" t="s">
        <v>233</v>
      </c>
      <c r="AF5" s="42" t="s">
        <v>233</v>
      </c>
      <c r="AG5" s="42" t="s">
        <v>233</v>
      </c>
    </row>
    <row r="6" spans="2:33" x14ac:dyDescent="0.25">
      <c r="B6" s="6">
        <f t="shared" ref="B6:B52" si="0">DAYS360($B$5,D6)</f>
        <v>81</v>
      </c>
      <c r="C6" s="14">
        <v>1</v>
      </c>
      <c r="D6" s="5">
        <v>40989</v>
      </c>
      <c r="E6" s="6" t="s">
        <v>406</v>
      </c>
      <c r="F6" s="33">
        <v>60</v>
      </c>
      <c r="G6" s="31"/>
      <c r="H6" s="31"/>
      <c r="I6" s="31"/>
      <c r="J6" s="31"/>
      <c r="K6" s="31"/>
      <c r="L6" s="6">
        <f>F6-$F$53</f>
        <v>-323.61702127659572</v>
      </c>
      <c r="M6" s="6">
        <f>SQRT((L6*L6)/COUNT($B$6:$B$52))</f>
        <v>47.204394057084592</v>
      </c>
      <c r="N6" s="31"/>
      <c r="O6" s="31"/>
      <c r="P6" s="31"/>
      <c r="Q6" s="31"/>
      <c r="S6" s="6">
        <f t="shared" ref="S6" si="1">DAYS360($B$5,T6)</f>
        <v>192</v>
      </c>
      <c r="T6" s="5">
        <v>41102</v>
      </c>
      <c r="U6" s="6" t="s">
        <v>381</v>
      </c>
      <c r="V6" s="33">
        <v>120</v>
      </c>
      <c r="W6" s="6">
        <f>COUNT(V6:V6)</f>
        <v>1</v>
      </c>
      <c r="X6" s="6">
        <f>SUM(V6:V6)</f>
        <v>120</v>
      </c>
      <c r="Y6" s="6">
        <f>(518400-X6)/W6</f>
        <v>518280</v>
      </c>
      <c r="Z6" s="6">
        <f>INT(Y6/60/24)</f>
        <v>359</v>
      </c>
      <c r="AA6" s="6">
        <f>X6/W6</f>
        <v>120</v>
      </c>
      <c r="AB6" s="6">
        <f>X6-V7</f>
        <v>0</v>
      </c>
      <c r="AC6" s="33">
        <f>SQRT((AB6*AB6)/COUNT($S$6:$S$6))</f>
        <v>0</v>
      </c>
      <c r="AD6" s="6">
        <f>W6/365</f>
        <v>2.7397260273972603E-3</v>
      </c>
      <c r="AE6" s="6">
        <f>AD6*EXP(-AD6*365)</f>
        <v>1.0078888799217598E-3</v>
      </c>
      <c r="AF6" s="6">
        <f>1-EXP(-AD6*365)</f>
        <v>0.63212055882855767</v>
      </c>
      <c r="AG6" s="6">
        <f>EXP(-AD6*365)</f>
        <v>0.36787944117144233</v>
      </c>
    </row>
    <row r="7" spans="2:33" x14ac:dyDescent="0.25">
      <c r="B7" s="6">
        <f t="shared" si="0"/>
        <v>308</v>
      </c>
      <c r="C7" s="14">
        <v>1</v>
      </c>
      <c r="D7" s="5">
        <v>41221</v>
      </c>
      <c r="E7" s="6" t="s">
        <v>406</v>
      </c>
      <c r="F7" s="33">
        <v>120</v>
      </c>
      <c r="G7" s="6">
        <f>COUNT(F6:F7)</f>
        <v>2</v>
      </c>
      <c r="H7" s="6">
        <f>SUM(F6:F7)</f>
        <v>180</v>
      </c>
      <c r="I7" s="6">
        <f>(518400-H7)/G7</f>
        <v>259110</v>
      </c>
      <c r="J7" s="6">
        <f>INT(I7/60/24)</f>
        <v>179</v>
      </c>
      <c r="K7" s="6">
        <f>H7/G7</f>
        <v>90</v>
      </c>
      <c r="L7" s="6">
        <f t="shared" ref="L7:L52" si="2">F7-$F$53</f>
        <v>-263.61702127659572</v>
      </c>
      <c r="M7" s="6">
        <f>SQRT((L7*L7)/COUNT($B$6:$B$52))</f>
        <v>38.452494567210927</v>
      </c>
      <c r="N7" s="6">
        <f>G7/365</f>
        <v>5.4794520547945206E-3</v>
      </c>
      <c r="O7" s="6">
        <f>N7*EXP(-N7*365)</f>
        <v>7.4156319581705592E-4</v>
      </c>
      <c r="P7" s="6">
        <f>1-EXP(-N7*365)</f>
        <v>0.8646647167633873</v>
      </c>
      <c r="Q7" s="6">
        <f>EXP(-N7*365)</f>
        <v>0.1353352832366127</v>
      </c>
      <c r="S7" s="31"/>
      <c r="T7" s="31"/>
      <c r="U7" s="43" t="s">
        <v>235</v>
      </c>
      <c r="V7" s="6">
        <f>AVERAGE(V6)</f>
        <v>120</v>
      </c>
      <c r="W7" s="31"/>
      <c r="X7" s="31"/>
      <c r="Y7" s="31"/>
      <c r="Z7" s="31"/>
      <c r="AA7" s="31"/>
      <c r="AB7" s="31"/>
      <c r="AC7" s="31"/>
      <c r="AD7" s="31"/>
      <c r="AE7" s="31"/>
      <c r="AF7" s="31"/>
      <c r="AG7" s="31"/>
    </row>
    <row r="8" spans="2:33" x14ac:dyDescent="0.25">
      <c r="B8" s="6">
        <f t="shared" si="0"/>
        <v>18</v>
      </c>
      <c r="C8" s="10">
        <v>2</v>
      </c>
      <c r="D8" s="5">
        <v>40926</v>
      </c>
      <c r="E8" s="6" t="s">
        <v>409</v>
      </c>
      <c r="F8" s="33">
        <v>180</v>
      </c>
      <c r="G8" s="6">
        <f>COUNT(F8:F8)+1</f>
        <v>2</v>
      </c>
      <c r="H8" s="6">
        <f>SUM(F8:F8)</f>
        <v>180</v>
      </c>
      <c r="I8" s="6">
        <f>(518400-H8)/G8</f>
        <v>259110</v>
      </c>
      <c r="J8" s="6">
        <f>INT(I8/60/24)</f>
        <v>179</v>
      </c>
      <c r="K8" s="6">
        <f>H8/G8</f>
        <v>90</v>
      </c>
      <c r="L8" s="6">
        <f t="shared" si="2"/>
        <v>-203.61702127659572</v>
      </c>
      <c r="M8" s="6">
        <f t="shared" ref="M8:M52" si="3">SQRT((L8*L8)/COUNT($B$6:$B$52))</f>
        <v>29.700595077337251</v>
      </c>
      <c r="N8" s="6">
        <f>G8/365</f>
        <v>5.4794520547945206E-3</v>
      </c>
      <c r="O8" s="6">
        <f>N8*EXP(-N8*365)</f>
        <v>7.4156319581705592E-4</v>
      </c>
      <c r="P8" s="6">
        <f>1-EXP(-N8*365)</f>
        <v>0.8646647167633873</v>
      </c>
      <c r="Q8" s="6">
        <f>EXP(-N8*365)</f>
        <v>0.1353352832366127</v>
      </c>
      <c r="S8" s="6">
        <f>DAYS360($B$5,T8)</f>
        <v>196</v>
      </c>
      <c r="T8" s="5">
        <v>41106</v>
      </c>
      <c r="U8" s="6" t="s">
        <v>375</v>
      </c>
      <c r="V8" s="33">
        <v>60</v>
      </c>
      <c r="W8" s="31"/>
      <c r="X8" s="31"/>
      <c r="Y8" s="31"/>
      <c r="Z8" s="31"/>
      <c r="AA8" s="31"/>
      <c r="AB8" s="31"/>
      <c r="AC8" s="31"/>
      <c r="AD8" s="31"/>
      <c r="AE8" s="31"/>
      <c r="AF8" s="31"/>
      <c r="AG8" s="31"/>
    </row>
    <row r="9" spans="2:33" x14ac:dyDescent="0.25">
      <c r="B9" s="6">
        <f t="shared" si="0"/>
        <v>68</v>
      </c>
      <c r="C9" s="10">
        <v>1</v>
      </c>
      <c r="D9" s="5">
        <v>40976</v>
      </c>
      <c r="E9" s="6" t="s">
        <v>333</v>
      </c>
      <c r="F9" s="33">
        <v>240</v>
      </c>
      <c r="G9" s="31"/>
      <c r="H9" s="31"/>
      <c r="I9" s="31"/>
      <c r="J9" s="31"/>
      <c r="K9" s="31"/>
      <c r="L9" s="6">
        <f t="shared" si="2"/>
        <v>-143.61702127659572</v>
      </c>
      <c r="M9" s="6">
        <f t="shared" si="3"/>
        <v>20.948695587463579</v>
      </c>
      <c r="N9" s="31"/>
      <c r="O9" s="31"/>
      <c r="P9" s="31"/>
      <c r="Q9" s="31"/>
      <c r="S9" s="6">
        <f>DAYS360($B$5,T9)</f>
        <v>296</v>
      </c>
      <c r="T9" s="5">
        <v>41208</v>
      </c>
      <c r="U9" s="6" t="s">
        <v>375</v>
      </c>
      <c r="V9" s="33">
        <v>360</v>
      </c>
      <c r="W9" s="6">
        <f>COUNT(V8:V9)</f>
        <v>2</v>
      </c>
      <c r="X9" s="6">
        <f>SUM(V8:V9)</f>
        <v>420</v>
      </c>
      <c r="Y9" s="6">
        <f>(518400-X9)/W9</f>
        <v>258990</v>
      </c>
      <c r="Z9" s="6">
        <f>INT(Y9/60/24)</f>
        <v>179</v>
      </c>
      <c r="AA9" s="6">
        <f>X9/W9</f>
        <v>210</v>
      </c>
      <c r="AB9" s="6">
        <f>X9-V10</f>
        <v>60</v>
      </c>
      <c r="AC9" s="33">
        <f>SQRT((AB9*AB9)/COUNT(S8:S9))</f>
        <v>42.426406871192853</v>
      </c>
      <c r="AD9" s="6">
        <f>W9/365</f>
        <v>5.4794520547945206E-3</v>
      </c>
      <c r="AE9" s="6">
        <f>AD9*EXP(-AD9*365)</f>
        <v>7.4156319581705592E-4</v>
      </c>
      <c r="AF9" s="6">
        <f>1-EXP(-AD9*365)</f>
        <v>0.8646647167633873</v>
      </c>
      <c r="AG9" s="6">
        <f>EXP(-AD6*365)</f>
        <v>0.36787944117144233</v>
      </c>
    </row>
    <row r="10" spans="2:33" x14ac:dyDescent="0.25">
      <c r="B10" s="6">
        <f t="shared" si="0"/>
        <v>72</v>
      </c>
      <c r="C10" s="10">
        <v>1</v>
      </c>
      <c r="D10" s="5">
        <v>40980</v>
      </c>
      <c r="E10" s="6" t="s">
        <v>333</v>
      </c>
      <c r="F10" s="33">
        <v>30</v>
      </c>
      <c r="G10" s="31"/>
      <c r="H10" s="31"/>
      <c r="I10" s="31"/>
      <c r="J10" s="31"/>
      <c r="K10" s="31"/>
      <c r="L10" s="6">
        <f t="shared" si="2"/>
        <v>-353.61702127659572</v>
      </c>
      <c r="M10" s="6">
        <f t="shared" si="3"/>
        <v>51.580343802021432</v>
      </c>
      <c r="N10" s="31"/>
      <c r="O10" s="31"/>
      <c r="P10" s="31"/>
      <c r="Q10" s="31"/>
      <c r="S10" s="31"/>
      <c r="T10" s="31"/>
      <c r="U10" s="43" t="s">
        <v>235</v>
      </c>
      <c r="V10" s="6">
        <f>AVERAGE(V9)</f>
        <v>360</v>
      </c>
      <c r="W10" s="31"/>
      <c r="X10" s="31"/>
      <c r="Y10" s="31"/>
      <c r="Z10" s="31"/>
      <c r="AA10" s="31"/>
      <c r="AB10" s="31"/>
      <c r="AC10" s="31"/>
      <c r="AD10" s="31"/>
      <c r="AE10" s="31"/>
      <c r="AF10" s="31"/>
      <c r="AG10" s="31"/>
    </row>
    <row r="11" spans="2:33" x14ac:dyDescent="0.25">
      <c r="B11" s="6">
        <f t="shared" si="0"/>
        <v>81</v>
      </c>
      <c r="C11" s="10">
        <v>1</v>
      </c>
      <c r="D11" s="5">
        <v>40989</v>
      </c>
      <c r="E11" s="6" t="s">
        <v>333</v>
      </c>
      <c r="F11" s="33">
        <v>30</v>
      </c>
      <c r="G11" s="31"/>
      <c r="H11" s="31"/>
      <c r="I11" s="31"/>
      <c r="J11" s="31"/>
      <c r="K11" s="31"/>
      <c r="L11" s="6">
        <f t="shared" si="2"/>
        <v>-353.61702127659572</v>
      </c>
      <c r="M11" s="6">
        <f t="shared" si="3"/>
        <v>51.580343802021432</v>
      </c>
      <c r="N11" s="31"/>
      <c r="O11" s="31"/>
      <c r="P11" s="31"/>
      <c r="Q11" s="31"/>
      <c r="S11" s="6">
        <f>DAYS360($B$5,T11)</f>
        <v>27</v>
      </c>
      <c r="T11" s="5">
        <v>40935</v>
      </c>
      <c r="U11" s="6" t="s">
        <v>379</v>
      </c>
      <c r="V11" s="33">
        <v>240</v>
      </c>
      <c r="W11" s="31"/>
      <c r="X11" s="31"/>
      <c r="Y11" s="31"/>
      <c r="Z11" s="31"/>
      <c r="AA11" s="31"/>
      <c r="AB11" s="31"/>
      <c r="AC11" s="31"/>
      <c r="AD11" s="31"/>
      <c r="AE11" s="31"/>
      <c r="AF11" s="31"/>
      <c r="AG11" s="31"/>
    </row>
    <row r="12" spans="2:33" x14ac:dyDescent="0.25">
      <c r="B12" s="6">
        <f t="shared" si="0"/>
        <v>99</v>
      </c>
      <c r="C12" s="14">
        <v>1</v>
      </c>
      <c r="D12" s="5">
        <v>41008</v>
      </c>
      <c r="E12" s="6" t="s">
        <v>333</v>
      </c>
      <c r="F12" s="33">
        <v>60</v>
      </c>
      <c r="G12" s="31"/>
      <c r="H12" s="31"/>
      <c r="I12" s="31"/>
      <c r="J12" s="31"/>
      <c r="K12" s="31"/>
      <c r="L12" s="6">
        <f t="shared" si="2"/>
        <v>-323.61702127659572</v>
      </c>
      <c r="M12" s="6">
        <f t="shared" si="3"/>
        <v>47.204394057084592</v>
      </c>
      <c r="N12" s="31"/>
      <c r="O12" s="31"/>
      <c r="P12" s="31"/>
      <c r="Q12" s="31"/>
      <c r="S12" s="6">
        <f>DAYS360($B$5,T12)</f>
        <v>190</v>
      </c>
      <c r="T12" s="5">
        <v>41100</v>
      </c>
      <c r="U12" s="6" t="s">
        <v>379</v>
      </c>
      <c r="V12" s="33">
        <v>120</v>
      </c>
      <c r="W12" s="31"/>
      <c r="X12" s="31"/>
      <c r="Y12" s="31"/>
      <c r="Z12" s="31"/>
      <c r="AA12" s="31"/>
      <c r="AB12" s="31"/>
      <c r="AC12" s="31"/>
      <c r="AD12" s="31"/>
      <c r="AE12" s="31"/>
      <c r="AF12" s="31"/>
      <c r="AG12" s="31"/>
    </row>
    <row r="13" spans="2:33" x14ac:dyDescent="0.25">
      <c r="B13" s="6">
        <f t="shared" si="0"/>
        <v>106</v>
      </c>
      <c r="C13" s="14">
        <v>1</v>
      </c>
      <c r="D13" s="5">
        <v>41015</v>
      </c>
      <c r="E13" s="6" t="s">
        <v>333</v>
      </c>
      <c r="F13" s="33">
        <v>300</v>
      </c>
      <c r="G13" s="31"/>
      <c r="H13" s="31"/>
      <c r="I13" s="31"/>
      <c r="J13" s="31"/>
      <c r="K13" s="31"/>
      <c r="L13" s="6">
        <f t="shared" si="2"/>
        <v>-83.617021276595722</v>
      </c>
      <c r="M13" s="6">
        <f t="shared" si="3"/>
        <v>12.196796097589903</v>
      </c>
      <c r="N13" s="31"/>
      <c r="O13" s="31"/>
      <c r="P13" s="31"/>
      <c r="Q13" s="31"/>
      <c r="S13" s="6">
        <f>DAYS360($B$5,T13)</f>
        <v>257</v>
      </c>
      <c r="T13" s="5">
        <v>41169</v>
      </c>
      <c r="U13" s="6" t="s">
        <v>379</v>
      </c>
      <c r="V13" s="33">
        <v>60</v>
      </c>
      <c r="W13" s="6">
        <f>COUNT(V11:V13)</f>
        <v>3</v>
      </c>
      <c r="X13" s="6">
        <f>SUM(V11:V13)</f>
        <v>420</v>
      </c>
      <c r="Y13" s="6">
        <f>(518400-X13)/W13</f>
        <v>172660</v>
      </c>
      <c r="Z13" s="6">
        <f>INT(Y13/60/24)</f>
        <v>119</v>
      </c>
      <c r="AA13" s="6">
        <f>X13/W13</f>
        <v>140</v>
      </c>
      <c r="AB13" s="6">
        <f>X13-V14</f>
        <v>360</v>
      </c>
      <c r="AC13" s="33">
        <f>SQRT((AB13*AB13)/COUNT(S11:S13))</f>
        <v>207.84609690826528</v>
      </c>
      <c r="AD13" s="6">
        <f>W13/365</f>
        <v>8.21917808219178E-3</v>
      </c>
      <c r="AE13" s="6">
        <f>AD13*EXP(-AD13*365)</f>
        <v>4.0920878110573119E-4</v>
      </c>
      <c r="AF13" s="6">
        <f>1-EXP(-AD13*365)</f>
        <v>0.95021293163213605</v>
      </c>
      <c r="AG13" s="6">
        <f>EXP(-AD6*365)</f>
        <v>0.36787944117144233</v>
      </c>
    </row>
    <row r="14" spans="2:33" x14ac:dyDescent="0.25">
      <c r="B14" s="6">
        <f t="shared" si="0"/>
        <v>108</v>
      </c>
      <c r="C14" s="14">
        <v>1</v>
      </c>
      <c r="D14" s="5">
        <v>41017</v>
      </c>
      <c r="E14" s="6" t="s">
        <v>333</v>
      </c>
      <c r="F14" s="33">
        <v>120</v>
      </c>
      <c r="G14" s="31"/>
      <c r="H14" s="31"/>
      <c r="I14" s="31"/>
      <c r="J14" s="31"/>
      <c r="K14" s="31"/>
      <c r="L14" s="6">
        <f t="shared" si="2"/>
        <v>-263.61702127659572</v>
      </c>
      <c r="M14" s="6">
        <f t="shared" si="3"/>
        <v>38.452494567210927</v>
      </c>
      <c r="N14" s="31"/>
      <c r="O14" s="31"/>
      <c r="P14" s="31"/>
      <c r="Q14" s="31"/>
      <c r="S14" s="31"/>
      <c r="T14" s="31"/>
      <c r="U14" s="43" t="s">
        <v>235</v>
      </c>
      <c r="V14" s="6">
        <f>AVERAGE(V13)</f>
        <v>60</v>
      </c>
      <c r="W14" s="31"/>
      <c r="X14" s="31"/>
      <c r="Y14" s="31"/>
      <c r="Z14" s="31"/>
      <c r="AA14" s="31"/>
      <c r="AB14" s="31"/>
      <c r="AC14" s="31"/>
      <c r="AD14" s="31"/>
      <c r="AE14" s="31"/>
      <c r="AF14" s="31"/>
      <c r="AG14" s="31"/>
    </row>
    <row r="15" spans="2:33" x14ac:dyDescent="0.25">
      <c r="B15" s="6">
        <f t="shared" si="0"/>
        <v>117</v>
      </c>
      <c r="C15" s="14">
        <v>1</v>
      </c>
      <c r="D15" s="5">
        <v>41026</v>
      </c>
      <c r="E15" s="6" t="s">
        <v>333</v>
      </c>
      <c r="F15" s="33">
        <v>60</v>
      </c>
      <c r="G15" s="31"/>
      <c r="H15" s="31"/>
      <c r="I15" s="31"/>
      <c r="J15" s="31"/>
      <c r="K15" s="31"/>
      <c r="L15" s="6">
        <f t="shared" si="2"/>
        <v>-323.61702127659572</v>
      </c>
      <c r="M15" s="6">
        <f t="shared" si="3"/>
        <v>47.204394057084592</v>
      </c>
      <c r="N15" s="31"/>
      <c r="O15" s="31"/>
      <c r="P15" s="31"/>
      <c r="Q15" s="31"/>
      <c r="S15" s="6">
        <f t="shared" ref="S15:S24" si="4">DAYS360($B$5,T15)</f>
        <v>81</v>
      </c>
      <c r="T15" s="5">
        <v>40989</v>
      </c>
      <c r="U15" s="6" t="s">
        <v>338</v>
      </c>
      <c r="V15" s="33">
        <v>30</v>
      </c>
      <c r="W15" s="31"/>
      <c r="X15" s="31"/>
      <c r="Y15" s="31"/>
      <c r="Z15" s="31"/>
      <c r="AA15" s="31"/>
      <c r="AB15" s="31"/>
      <c r="AC15" s="31"/>
      <c r="AD15" s="31"/>
      <c r="AE15" s="31"/>
      <c r="AF15" s="31"/>
      <c r="AG15" s="31"/>
    </row>
    <row r="16" spans="2:33" x14ac:dyDescent="0.25">
      <c r="B16" s="6">
        <f t="shared" si="0"/>
        <v>144</v>
      </c>
      <c r="C16" s="14">
        <v>1</v>
      </c>
      <c r="D16" s="5">
        <v>41053</v>
      </c>
      <c r="E16" s="6" t="s">
        <v>333</v>
      </c>
      <c r="F16" s="33">
        <v>60</v>
      </c>
      <c r="G16" s="31"/>
      <c r="H16" s="31"/>
      <c r="I16" s="31"/>
      <c r="J16" s="31"/>
      <c r="K16" s="31"/>
      <c r="L16" s="6">
        <f t="shared" si="2"/>
        <v>-323.61702127659572</v>
      </c>
      <c r="M16" s="6">
        <f t="shared" si="3"/>
        <v>47.204394057084592</v>
      </c>
      <c r="N16" s="31"/>
      <c r="O16" s="31"/>
      <c r="P16" s="31"/>
      <c r="Q16" s="31"/>
      <c r="S16" s="6">
        <f t="shared" si="4"/>
        <v>106</v>
      </c>
      <c r="T16" s="5">
        <v>41015</v>
      </c>
      <c r="U16" s="6" t="s">
        <v>338</v>
      </c>
      <c r="V16" s="33">
        <v>300</v>
      </c>
      <c r="W16" s="31"/>
      <c r="X16" s="31"/>
      <c r="Y16" s="31"/>
      <c r="Z16" s="31"/>
      <c r="AA16" s="31"/>
      <c r="AB16" s="31"/>
      <c r="AC16" s="31"/>
      <c r="AD16" s="31"/>
      <c r="AE16" s="31"/>
      <c r="AF16" s="31"/>
      <c r="AG16" s="31"/>
    </row>
    <row r="17" spans="2:33" x14ac:dyDescent="0.25">
      <c r="B17" s="6">
        <f t="shared" si="0"/>
        <v>159</v>
      </c>
      <c r="C17" s="14">
        <v>1</v>
      </c>
      <c r="D17" s="5">
        <v>41069</v>
      </c>
      <c r="E17" s="6" t="s">
        <v>333</v>
      </c>
      <c r="F17" s="33">
        <v>60</v>
      </c>
      <c r="G17" s="31"/>
      <c r="H17" s="31"/>
      <c r="I17" s="31"/>
      <c r="J17" s="31"/>
      <c r="K17" s="31"/>
      <c r="L17" s="6">
        <f t="shared" si="2"/>
        <v>-323.61702127659572</v>
      </c>
      <c r="M17" s="6">
        <f t="shared" si="3"/>
        <v>47.204394057084592</v>
      </c>
      <c r="N17" s="31"/>
      <c r="O17" s="31"/>
      <c r="P17" s="31"/>
      <c r="Q17" s="31"/>
      <c r="S17" s="6">
        <f t="shared" si="4"/>
        <v>108</v>
      </c>
      <c r="T17" s="5">
        <v>41017</v>
      </c>
      <c r="U17" s="6" t="s">
        <v>338</v>
      </c>
      <c r="V17" s="33">
        <v>120</v>
      </c>
      <c r="W17" s="31"/>
      <c r="X17" s="31"/>
      <c r="Y17" s="31"/>
      <c r="Z17" s="31"/>
      <c r="AA17" s="31"/>
      <c r="AB17" s="31"/>
      <c r="AC17" s="31"/>
      <c r="AD17" s="31"/>
      <c r="AE17" s="31"/>
      <c r="AF17" s="31"/>
      <c r="AG17" s="31"/>
    </row>
    <row r="18" spans="2:33" x14ac:dyDescent="0.25">
      <c r="B18" s="6">
        <f t="shared" si="0"/>
        <v>163</v>
      </c>
      <c r="C18" s="14">
        <v>1</v>
      </c>
      <c r="D18" s="5">
        <v>41073</v>
      </c>
      <c r="E18" s="6" t="s">
        <v>333</v>
      </c>
      <c r="F18" s="33">
        <v>240</v>
      </c>
      <c r="G18" s="31"/>
      <c r="H18" s="31"/>
      <c r="I18" s="31"/>
      <c r="J18" s="31"/>
      <c r="K18" s="31"/>
      <c r="L18" s="6">
        <f t="shared" si="2"/>
        <v>-143.61702127659572</v>
      </c>
      <c r="M18" s="6">
        <f t="shared" si="3"/>
        <v>20.948695587463579</v>
      </c>
      <c r="N18" s="31"/>
      <c r="O18" s="31"/>
      <c r="P18" s="31"/>
      <c r="Q18" s="31"/>
      <c r="S18" s="6">
        <f t="shared" si="4"/>
        <v>117</v>
      </c>
      <c r="T18" s="5">
        <v>41026</v>
      </c>
      <c r="U18" s="6" t="s">
        <v>338</v>
      </c>
      <c r="V18" s="33">
        <v>60</v>
      </c>
      <c r="W18" s="31"/>
      <c r="X18" s="31"/>
      <c r="Y18" s="31"/>
      <c r="Z18" s="31"/>
      <c r="AA18" s="31"/>
      <c r="AB18" s="31"/>
      <c r="AC18" s="31"/>
      <c r="AD18" s="31"/>
      <c r="AE18" s="31"/>
      <c r="AF18" s="31"/>
      <c r="AG18" s="31"/>
    </row>
    <row r="19" spans="2:33" x14ac:dyDescent="0.25">
      <c r="B19" s="6">
        <f t="shared" si="0"/>
        <v>171</v>
      </c>
      <c r="C19" s="14">
        <v>1</v>
      </c>
      <c r="D19" s="5">
        <v>41081</v>
      </c>
      <c r="E19" s="6" t="s">
        <v>333</v>
      </c>
      <c r="F19" s="33">
        <v>60</v>
      </c>
      <c r="G19" s="31"/>
      <c r="H19" s="31"/>
      <c r="I19" s="31"/>
      <c r="J19" s="31"/>
      <c r="K19" s="31"/>
      <c r="L19" s="6">
        <f t="shared" si="2"/>
        <v>-323.61702127659572</v>
      </c>
      <c r="M19" s="6">
        <f t="shared" si="3"/>
        <v>47.204394057084592</v>
      </c>
      <c r="N19" s="31"/>
      <c r="O19" s="31"/>
      <c r="P19" s="31"/>
      <c r="Q19" s="31"/>
      <c r="S19" s="6">
        <f t="shared" si="4"/>
        <v>144</v>
      </c>
      <c r="T19" s="5">
        <v>41053</v>
      </c>
      <c r="U19" s="6" t="s">
        <v>338</v>
      </c>
      <c r="V19" s="33">
        <v>60</v>
      </c>
      <c r="W19" s="31"/>
      <c r="X19" s="31"/>
      <c r="Y19" s="31"/>
      <c r="Z19" s="31"/>
      <c r="AA19" s="31"/>
      <c r="AB19" s="31"/>
      <c r="AC19" s="31"/>
      <c r="AD19" s="31"/>
      <c r="AE19" s="31"/>
      <c r="AF19" s="31"/>
      <c r="AG19" s="31"/>
    </row>
    <row r="20" spans="2:33" x14ac:dyDescent="0.25">
      <c r="B20" s="6">
        <f t="shared" si="0"/>
        <v>173</v>
      </c>
      <c r="C20" s="14">
        <v>1</v>
      </c>
      <c r="D20" s="5">
        <v>41083</v>
      </c>
      <c r="E20" s="6" t="s">
        <v>333</v>
      </c>
      <c r="F20" s="33">
        <v>60</v>
      </c>
      <c r="G20" s="31"/>
      <c r="H20" s="31"/>
      <c r="I20" s="31"/>
      <c r="J20" s="31"/>
      <c r="K20" s="31"/>
      <c r="L20" s="6">
        <f t="shared" si="2"/>
        <v>-323.61702127659572</v>
      </c>
      <c r="M20" s="6">
        <f t="shared" si="3"/>
        <v>47.204394057084592</v>
      </c>
      <c r="N20" s="31"/>
      <c r="O20" s="31"/>
      <c r="P20" s="31"/>
      <c r="Q20" s="31"/>
      <c r="S20" s="6">
        <f t="shared" si="4"/>
        <v>159</v>
      </c>
      <c r="T20" s="5">
        <v>41069</v>
      </c>
      <c r="U20" s="6" t="s">
        <v>338</v>
      </c>
      <c r="V20" s="33">
        <v>60</v>
      </c>
      <c r="W20" s="31"/>
      <c r="X20" s="31"/>
      <c r="Y20" s="31"/>
      <c r="Z20" s="31"/>
      <c r="AA20" s="31"/>
      <c r="AB20" s="31"/>
      <c r="AC20" s="31"/>
      <c r="AD20" s="31"/>
      <c r="AE20" s="31"/>
      <c r="AF20" s="31"/>
      <c r="AG20" s="31"/>
    </row>
    <row r="21" spans="2:33" x14ac:dyDescent="0.25">
      <c r="B21" s="6">
        <f t="shared" si="0"/>
        <v>279</v>
      </c>
      <c r="C21" s="14">
        <v>1</v>
      </c>
      <c r="D21" s="5">
        <v>41191</v>
      </c>
      <c r="E21" s="6" t="s">
        <v>333</v>
      </c>
      <c r="F21" s="33">
        <v>120</v>
      </c>
      <c r="G21" s="31"/>
      <c r="H21" s="31"/>
      <c r="I21" s="31"/>
      <c r="J21" s="31"/>
      <c r="K21" s="31"/>
      <c r="L21" s="6">
        <f t="shared" si="2"/>
        <v>-263.61702127659572</v>
      </c>
      <c r="M21" s="6">
        <f t="shared" si="3"/>
        <v>38.452494567210927</v>
      </c>
      <c r="N21" s="31"/>
      <c r="O21" s="31"/>
      <c r="P21" s="31"/>
      <c r="Q21" s="31"/>
      <c r="S21" s="6">
        <f t="shared" si="4"/>
        <v>163</v>
      </c>
      <c r="T21" s="5">
        <v>41073</v>
      </c>
      <c r="U21" s="6" t="s">
        <v>338</v>
      </c>
      <c r="V21" s="33">
        <v>240</v>
      </c>
      <c r="W21" s="31"/>
      <c r="X21" s="31"/>
      <c r="Y21" s="31"/>
      <c r="Z21" s="31"/>
      <c r="AA21" s="31"/>
      <c r="AB21" s="31"/>
      <c r="AC21" s="31"/>
      <c r="AD21" s="31"/>
      <c r="AE21" s="31"/>
      <c r="AF21" s="31"/>
      <c r="AG21" s="31"/>
    </row>
    <row r="22" spans="2:33" x14ac:dyDescent="0.25">
      <c r="B22" s="6">
        <f t="shared" si="0"/>
        <v>281</v>
      </c>
      <c r="C22" s="14">
        <v>1</v>
      </c>
      <c r="D22" s="5">
        <v>41193</v>
      </c>
      <c r="E22" s="6" t="s">
        <v>333</v>
      </c>
      <c r="F22" s="33">
        <v>120</v>
      </c>
      <c r="G22" s="31"/>
      <c r="H22" s="31"/>
      <c r="I22" s="31"/>
      <c r="J22" s="31"/>
      <c r="K22" s="31"/>
      <c r="L22" s="6">
        <f t="shared" si="2"/>
        <v>-263.61702127659572</v>
      </c>
      <c r="M22" s="6">
        <f t="shared" si="3"/>
        <v>38.452494567210927</v>
      </c>
      <c r="N22" s="31"/>
      <c r="O22" s="31"/>
      <c r="P22" s="31"/>
      <c r="Q22" s="31"/>
      <c r="S22" s="6">
        <f t="shared" si="4"/>
        <v>173</v>
      </c>
      <c r="T22" s="5">
        <v>41083</v>
      </c>
      <c r="U22" s="6" t="s">
        <v>338</v>
      </c>
      <c r="V22" s="33">
        <v>60</v>
      </c>
      <c r="W22" s="31"/>
      <c r="X22" s="31"/>
      <c r="Y22" s="31"/>
      <c r="Z22" s="31"/>
      <c r="AA22" s="31"/>
      <c r="AB22" s="31"/>
      <c r="AC22" s="31"/>
      <c r="AD22" s="31"/>
      <c r="AE22" s="31"/>
      <c r="AF22" s="31"/>
      <c r="AG22" s="31"/>
    </row>
    <row r="23" spans="2:33" x14ac:dyDescent="0.25">
      <c r="B23" s="6">
        <f t="shared" si="0"/>
        <v>293</v>
      </c>
      <c r="C23" s="14">
        <v>1</v>
      </c>
      <c r="D23" s="5">
        <v>41205</v>
      </c>
      <c r="E23" s="6" t="s">
        <v>333</v>
      </c>
      <c r="F23" s="33">
        <v>120</v>
      </c>
      <c r="G23" s="31"/>
      <c r="H23" s="31"/>
      <c r="I23" s="31"/>
      <c r="J23" s="31"/>
      <c r="K23" s="31"/>
      <c r="L23" s="6">
        <f t="shared" si="2"/>
        <v>-263.61702127659572</v>
      </c>
      <c r="M23" s="6">
        <f t="shared" si="3"/>
        <v>38.452494567210927</v>
      </c>
      <c r="N23" s="31"/>
      <c r="O23" s="31"/>
      <c r="P23" s="31"/>
      <c r="Q23" s="31"/>
      <c r="S23" s="6">
        <f t="shared" si="4"/>
        <v>281</v>
      </c>
      <c r="T23" s="5">
        <v>41193</v>
      </c>
      <c r="U23" s="6" t="s">
        <v>338</v>
      </c>
      <c r="V23" s="33">
        <v>120</v>
      </c>
      <c r="W23" s="31"/>
      <c r="X23" s="31"/>
      <c r="Y23" s="31"/>
      <c r="Z23" s="31"/>
      <c r="AA23" s="31"/>
      <c r="AB23" s="31"/>
      <c r="AC23" s="31"/>
      <c r="AD23" s="31"/>
      <c r="AE23" s="31"/>
      <c r="AF23" s="31"/>
      <c r="AG23" s="31"/>
    </row>
    <row r="24" spans="2:33" x14ac:dyDescent="0.25">
      <c r="B24" s="6">
        <f t="shared" si="0"/>
        <v>303</v>
      </c>
      <c r="C24" s="14">
        <v>1</v>
      </c>
      <c r="D24" s="5">
        <v>41216</v>
      </c>
      <c r="E24" s="6" t="s">
        <v>333</v>
      </c>
      <c r="F24" s="33">
        <v>30</v>
      </c>
      <c r="G24" s="6">
        <f>COUNT(F9:F24)+1</f>
        <v>17</v>
      </c>
      <c r="H24" s="6">
        <f>SUM(F9:F24)</f>
        <v>1710</v>
      </c>
      <c r="I24" s="6">
        <f>(518400-H24)/G24</f>
        <v>30393.529411764706</v>
      </c>
      <c r="J24" s="6">
        <f>INT(I24/60/24)</f>
        <v>21</v>
      </c>
      <c r="K24" s="6">
        <f>H24/G24</f>
        <v>100.58823529411765</v>
      </c>
      <c r="L24" s="6">
        <f t="shared" si="2"/>
        <v>-353.61702127659572</v>
      </c>
      <c r="M24" s="6">
        <f t="shared" si="3"/>
        <v>51.580343802021432</v>
      </c>
      <c r="N24" s="6">
        <f>G24/365</f>
        <v>4.6575342465753428E-2</v>
      </c>
      <c r="O24" s="6">
        <f>N24*EXP(-N24*365)</f>
        <v>1.9281901703930914E-9</v>
      </c>
      <c r="P24" s="6">
        <f>1-EXP(-N24*365)</f>
        <v>0.99999995860062285</v>
      </c>
      <c r="Q24" s="6">
        <f>EXP(-N24*365)</f>
        <v>4.1399377187851668E-8</v>
      </c>
      <c r="S24" s="6">
        <f t="shared" si="4"/>
        <v>303</v>
      </c>
      <c r="T24" s="5">
        <v>41216</v>
      </c>
      <c r="U24" s="6" t="s">
        <v>338</v>
      </c>
      <c r="V24" s="33">
        <v>30</v>
      </c>
      <c r="W24" s="6">
        <f>COUNT(V15:V24)</f>
        <v>10</v>
      </c>
      <c r="X24" s="6">
        <f>SUM(V15:V24)</f>
        <v>1080</v>
      </c>
      <c r="Y24" s="6">
        <f>(518400-X24)/W24</f>
        <v>51732</v>
      </c>
      <c r="Z24" s="6">
        <f>INT(Y24/60/24)</f>
        <v>35</v>
      </c>
      <c r="AA24" s="6">
        <f>X24/W24</f>
        <v>108</v>
      </c>
      <c r="AB24" s="6">
        <f>X24-V25</f>
        <v>1050</v>
      </c>
      <c r="AC24" s="33">
        <f>SQRT((AB24*AB24)/COUNT(S15:S24))</f>
        <v>332.03915431767985</v>
      </c>
      <c r="AD24" s="6">
        <f>W24/365</f>
        <v>2.7397260273972601E-2</v>
      </c>
      <c r="AE24" s="6">
        <f>AD24*EXP(-AD24*365)</f>
        <v>1.2438336921228726E-6</v>
      </c>
      <c r="AF24" s="6">
        <f>1-EXP(-AD24*365)</f>
        <v>0.99995460007023751</v>
      </c>
      <c r="AG24" s="6">
        <f>EXP(-AD6*365)</f>
        <v>0.36787944117144233</v>
      </c>
    </row>
    <row r="25" spans="2:33" x14ac:dyDescent="0.25">
      <c r="B25" s="6">
        <f t="shared" si="0"/>
        <v>8</v>
      </c>
      <c r="C25" s="10">
        <v>1</v>
      </c>
      <c r="D25" s="5">
        <v>40916</v>
      </c>
      <c r="E25" s="6" t="s">
        <v>342</v>
      </c>
      <c r="F25" s="33">
        <v>120</v>
      </c>
      <c r="G25" s="31"/>
      <c r="H25" s="31"/>
      <c r="I25" s="31"/>
      <c r="J25" s="31"/>
      <c r="K25" s="31"/>
      <c r="L25" s="6">
        <f t="shared" si="2"/>
        <v>-263.61702127659572</v>
      </c>
      <c r="M25" s="6">
        <f t="shared" si="3"/>
        <v>38.452494567210927</v>
      </c>
      <c r="N25" s="31"/>
      <c r="O25" s="31"/>
      <c r="P25" s="31"/>
      <c r="Q25" s="31"/>
      <c r="S25" s="31"/>
      <c r="T25" s="31"/>
      <c r="U25" s="43" t="s">
        <v>235</v>
      </c>
      <c r="V25" s="6">
        <f>AVERAGE(V24)</f>
        <v>30</v>
      </c>
      <c r="W25" s="31"/>
      <c r="X25" s="31"/>
      <c r="Y25" s="31"/>
      <c r="Z25" s="31"/>
      <c r="AA25" s="31"/>
      <c r="AB25" s="31"/>
      <c r="AC25" s="31"/>
      <c r="AD25" s="31"/>
      <c r="AE25" s="31"/>
      <c r="AF25" s="31"/>
      <c r="AG25" s="31"/>
    </row>
    <row r="26" spans="2:33" x14ac:dyDescent="0.25">
      <c r="B26" s="6">
        <f t="shared" si="0"/>
        <v>10</v>
      </c>
      <c r="C26" s="10">
        <v>1</v>
      </c>
      <c r="D26" s="5">
        <v>40918</v>
      </c>
      <c r="E26" s="6" t="s">
        <v>342</v>
      </c>
      <c r="F26" s="33">
        <v>60</v>
      </c>
      <c r="G26" s="31"/>
      <c r="H26" s="31"/>
      <c r="I26" s="31"/>
      <c r="J26" s="31"/>
      <c r="K26" s="31"/>
      <c r="L26" s="6">
        <f t="shared" si="2"/>
        <v>-323.61702127659572</v>
      </c>
      <c r="M26" s="6">
        <f t="shared" si="3"/>
        <v>47.204394057084592</v>
      </c>
      <c r="N26" s="31"/>
      <c r="O26" s="31"/>
      <c r="P26" s="31"/>
      <c r="Q26" s="31"/>
      <c r="S26" s="6">
        <f>DAYS360($B$5,T26)</f>
        <v>68</v>
      </c>
      <c r="T26" s="5">
        <v>40976</v>
      </c>
      <c r="U26" s="6" t="s">
        <v>340</v>
      </c>
      <c r="V26" s="33">
        <v>240</v>
      </c>
      <c r="W26" s="31"/>
      <c r="X26" s="31"/>
      <c r="Y26" s="31"/>
      <c r="Z26" s="31"/>
      <c r="AA26" s="31"/>
      <c r="AB26" s="31"/>
      <c r="AC26" s="31"/>
      <c r="AD26" s="31"/>
      <c r="AE26" s="31"/>
      <c r="AF26" s="31"/>
      <c r="AG26" s="31"/>
    </row>
    <row r="27" spans="2:33" x14ac:dyDescent="0.25">
      <c r="B27" s="6">
        <f t="shared" si="0"/>
        <v>11</v>
      </c>
      <c r="C27" s="10">
        <v>1</v>
      </c>
      <c r="D27" s="5">
        <v>40919</v>
      </c>
      <c r="E27" s="6" t="s">
        <v>342</v>
      </c>
      <c r="F27" s="33">
        <v>150</v>
      </c>
      <c r="G27" s="31"/>
      <c r="H27" s="31"/>
      <c r="I27" s="31"/>
      <c r="J27" s="31"/>
      <c r="K27" s="31"/>
      <c r="L27" s="6">
        <f t="shared" si="2"/>
        <v>-233.61702127659572</v>
      </c>
      <c r="M27" s="6">
        <f t="shared" si="3"/>
        <v>34.076544822274087</v>
      </c>
      <c r="N27" s="31"/>
      <c r="O27" s="31"/>
      <c r="P27" s="31"/>
      <c r="Q27" s="31"/>
      <c r="S27" s="6">
        <f>DAYS360($B$5,T27)</f>
        <v>72</v>
      </c>
      <c r="T27" s="5">
        <v>40980</v>
      </c>
      <c r="U27" s="6" t="s">
        <v>340</v>
      </c>
      <c r="V27" s="33">
        <v>30</v>
      </c>
      <c r="W27" s="31"/>
      <c r="X27" s="31"/>
      <c r="Y27" s="31"/>
      <c r="Z27" s="31"/>
      <c r="AA27" s="31"/>
      <c r="AB27" s="31"/>
      <c r="AC27" s="31"/>
      <c r="AD27" s="31"/>
      <c r="AE27" s="31"/>
      <c r="AF27" s="31"/>
      <c r="AG27" s="31"/>
    </row>
    <row r="28" spans="2:33" x14ac:dyDescent="0.25">
      <c r="B28" s="6">
        <f t="shared" si="0"/>
        <v>12</v>
      </c>
      <c r="C28" s="10">
        <v>1</v>
      </c>
      <c r="D28" s="5">
        <v>40920</v>
      </c>
      <c r="E28" s="6" t="s">
        <v>342</v>
      </c>
      <c r="F28" s="33">
        <v>60</v>
      </c>
      <c r="G28" s="31"/>
      <c r="H28" s="31"/>
      <c r="I28" s="31"/>
      <c r="J28" s="31"/>
      <c r="K28" s="31"/>
      <c r="L28" s="6">
        <f t="shared" si="2"/>
        <v>-323.61702127659572</v>
      </c>
      <c r="M28" s="6">
        <f t="shared" si="3"/>
        <v>47.204394057084592</v>
      </c>
      <c r="N28" s="31"/>
      <c r="O28" s="31"/>
      <c r="P28" s="31"/>
      <c r="Q28" s="31"/>
      <c r="S28" s="6">
        <f>DAYS360($B$5,T28)</f>
        <v>99</v>
      </c>
      <c r="T28" s="5">
        <v>41008</v>
      </c>
      <c r="U28" s="6" t="s">
        <v>340</v>
      </c>
      <c r="V28" s="33">
        <v>60</v>
      </c>
      <c r="W28" s="6">
        <f>COUNT(V26:V28)</f>
        <v>3</v>
      </c>
      <c r="X28" s="6">
        <f>SUM(V26:V28)</f>
        <v>330</v>
      </c>
      <c r="Y28" s="6">
        <f>(518400-X28)/W28</f>
        <v>172690</v>
      </c>
      <c r="Z28" s="6">
        <f>INT(Y28/60/24)</f>
        <v>119</v>
      </c>
      <c r="AA28" s="6">
        <f>X28/W28</f>
        <v>110</v>
      </c>
      <c r="AB28" s="6">
        <f>X28-V29</f>
        <v>270</v>
      </c>
      <c r="AC28" s="33">
        <f>SQRT((AB28*AB28)/COUNT(S26:S28))</f>
        <v>155.88457268119896</v>
      </c>
      <c r="AD28" s="6">
        <f>W28/365</f>
        <v>8.21917808219178E-3</v>
      </c>
      <c r="AE28" s="6">
        <f>AD28*EXP(-AD28*365)</f>
        <v>4.0920878110573119E-4</v>
      </c>
      <c r="AF28" s="6">
        <f>1-EXP(-AD28*365)</f>
        <v>0.95021293163213605</v>
      </c>
      <c r="AG28" s="6">
        <f>EXP(-AD6*365)</f>
        <v>0.36787944117144233</v>
      </c>
    </row>
    <row r="29" spans="2:33" x14ac:dyDescent="0.25">
      <c r="B29" s="6">
        <f t="shared" si="0"/>
        <v>22</v>
      </c>
      <c r="C29" s="10">
        <v>1</v>
      </c>
      <c r="D29" s="5">
        <v>40930</v>
      </c>
      <c r="E29" s="6" t="s">
        <v>342</v>
      </c>
      <c r="F29" s="33">
        <v>120</v>
      </c>
      <c r="G29" s="31"/>
      <c r="H29" s="31"/>
      <c r="I29" s="31"/>
      <c r="J29" s="31"/>
      <c r="K29" s="31"/>
      <c r="L29" s="6">
        <f t="shared" si="2"/>
        <v>-263.61702127659572</v>
      </c>
      <c r="M29" s="6">
        <f t="shared" si="3"/>
        <v>38.452494567210927</v>
      </c>
      <c r="N29" s="31"/>
      <c r="O29" s="31"/>
      <c r="P29" s="31"/>
      <c r="Q29" s="31"/>
      <c r="S29" s="31"/>
      <c r="T29" s="31"/>
      <c r="U29" s="43" t="s">
        <v>235</v>
      </c>
      <c r="V29" s="6">
        <f>AVERAGE(V28)</f>
        <v>60</v>
      </c>
      <c r="W29" s="31"/>
      <c r="X29" s="31"/>
      <c r="Y29" s="31"/>
      <c r="Z29" s="31"/>
      <c r="AA29" s="31"/>
      <c r="AB29" s="31"/>
      <c r="AC29" s="31"/>
      <c r="AD29" s="31"/>
      <c r="AE29" s="31"/>
      <c r="AF29" s="31"/>
      <c r="AG29" s="31"/>
    </row>
    <row r="30" spans="2:33" x14ac:dyDescent="0.25">
      <c r="B30" s="6">
        <f t="shared" si="0"/>
        <v>28</v>
      </c>
      <c r="C30" s="10">
        <v>1</v>
      </c>
      <c r="D30" s="5">
        <v>40936</v>
      </c>
      <c r="E30" s="6" t="s">
        <v>342</v>
      </c>
      <c r="F30" s="33">
        <v>90</v>
      </c>
      <c r="G30" s="31"/>
      <c r="H30" s="31"/>
      <c r="I30" s="31"/>
      <c r="J30" s="31"/>
      <c r="K30" s="31"/>
      <c r="L30" s="6">
        <f t="shared" si="2"/>
        <v>-293.61702127659572</v>
      </c>
      <c r="M30" s="6">
        <f t="shared" si="3"/>
        <v>42.828444312147759</v>
      </c>
      <c r="N30" s="31"/>
      <c r="O30" s="31"/>
      <c r="P30" s="31"/>
      <c r="Q30" s="31"/>
      <c r="S30" s="6">
        <f>DAYS360($B$5,T30)</f>
        <v>171</v>
      </c>
      <c r="T30" s="5">
        <v>41081</v>
      </c>
      <c r="U30" s="6" t="s">
        <v>339</v>
      </c>
      <c r="V30" s="33">
        <v>60</v>
      </c>
      <c r="W30" s="31"/>
      <c r="X30" s="31"/>
      <c r="Y30" s="31"/>
      <c r="Z30" s="31"/>
      <c r="AA30" s="31"/>
      <c r="AB30" s="31"/>
      <c r="AC30" s="31"/>
      <c r="AD30" s="31"/>
      <c r="AE30" s="31"/>
      <c r="AF30" s="31"/>
      <c r="AG30" s="31"/>
    </row>
    <row r="31" spans="2:33" x14ac:dyDescent="0.25">
      <c r="B31" s="6">
        <f t="shared" si="0"/>
        <v>33</v>
      </c>
      <c r="C31" s="10">
        <v>1</v>
      </c>
      <c r="D31" s="5">
        <v>40942</v>
      </c>
      <c r="E31" s="6" t="s">
        <v>342</v>
      </c>
      <c r="F31" s="33">
        <v>60</v>
      </c>
      <c r="G31" s="31"/>
      <c r="H31" s="31"/>
      <c r="I31" s="31"/>
      <c r="J31" s="31"/>
      <c r="K31" s="31"/>
      <c r="L31" s="6">
        <f t="shared" si="2"/>
        <v>-323.61702127659572</v>
      </c>
      <c r="M31" s="6">
        <f t="shared" si="3"/>
        <v>47.204394057084592</v>
      </c>
      <c r="N31" s="31"/>
      <c r="O31" s="31"/>
      <c r="P31" s="31"/>
      <c r="Q31" s="31"/>
      <c r="S31" s="6">
        <f>DAYS360($B$5,T31)</f>
        <v>279</v>
      </c>
      <c r="T31" s="5">
        <v>41191</v>
      </c>
      <c r="U31" s="6" t="s">
        <v>339</v>
      </c>
      <c r="V31" s="33">
        <v>120</v>
      </c>
      <c r="W31" s="31"/>
      <c r="X31" s="31"/>
      <c r="Y31" s="31"/>
      <c r="Z31" s="31"/>
      <c r="AA31" s="31"/>
      <c r="AB31" s="31"/>
      <c r="AC31" s="31"/>
      <c r="AD31" s="31"/>
      <c r="AE31" s="31"/>
      <c r="AF31" s="31"/>
      <c r="AG31" s="31"/>
    </row>
    <row r="32" spans="2:33" x14ac:dyDescent="0.25">
      <c r="B32" s="6">
        <f t="shared" si="0"/>
        <v>36</v>
      </c>
      <c r="C32" s="10">
        <v>1</v>
      </c>
      <c r="D32" s="5">
        <v>40945</v>
      </c>
      <c r="E32" s="6" t="s">
        <v>342</v>
      </c>
      <c r="F32" s="33">
        <v>150</v>
      </c>
      <c r="G32" s="31"/>
      <c r="H32" s="31"/>
      <c r="I32" s="31"/>
      <c r="J32" s="31"/>
      <c r="K32" s="31"/>
      <c r="L32" s="6">
        <f t="shared" si="2"/>
        <v>-233.61702127659572</v>
      </c>
      <c r="M32" s="6">
        <f t="shared" si="3"/>
        <v>34.076544822274087</v>
      </c>
      <c r="N32" s="31"/>
      <c r="O32" s="31"/>
      <c r="P32" s="31"/>
      <c r="Q32" s="31"/>
      <c r="S32" s="6">
        <f>DAYS360($B$5,T32)</f>
        <v>293</v>
      </c>
      <c r="T32" s="5">
        <v>41205</v>
      </c>
      <c r="U32" s="6" t="s">
        <v>339</v>
      </c>
      <c r="V32" s="33">
        <v>120</v>
      </c>
      <c r="W32" s="6">
        <f>COUNT(V30:V32)</f>
        <v>3</v>
      </c>
      <c r="X32" s="6">
        <f>SUM(V30:V32)</f>
        <v>300</v>
      </c>
      <c r="Y32" s="6">
        <f>(518400-X32)/W32</f>
        <v>172700</v>
      </c>
      <c r="Z32" s="6">
        <f>INT(Y32/60/24)</f>
        <v>119</v>
      </c>
      <c r="AA32" s="6">
        <f>X32/W32</f>
        <v>100</v>
      </c>
      <c r="AB32" s="6">
        <f>X32-V33</f>
        <v>180</v>
      </c>
      <c r="AC32" s="33">
        <f>SQRT((AB32*AB32)/COUNT(S30:S32))</f>
        <v>103.92304845413264</v>
      </c>
      <c r="AD32" s="6">
        <f>W32/365</f>
        <v>8.21917808219178E-3</v>
      </c>
      <c r="AE32" s="6">
        <f>AD32*EXP(-AD32*365)</f>
        <v>4.0920878110573119E-4</v>
      </c>
      <c r="AF32" s="6">
        <f>1-EXP(-AD32*365)</f>
        <v>0.95021293163213605</v>
      </c>
      <c r="AG32" s="6">
        <f>EXP(-AD6*365)</f>
        <v>0.36787944117144233</v>
      </c>
    </row>
    <row r="33" spans="2:33" x14ac:dyDescent="0.25">
      <c r="B33" s="6">
        <f t="shared" si="0"/>
        <v>59</v>
      </c>
      <c r="C33" s="10">
        <v>1</v>
      </c>
      <c r="D33" s="5">
        <v>40968</v>
      </c>
      <c r="E33" s="6" t="s">
        <v>342</v>
      </c>
      <c r="F33" s="33">
        <v>240</v>
      </c>
      <c r="G33" s="31"/>
      <c r="H33" s="31"/>
      <c r="I33" s="31"/>
      <c r="J33" s="31"/>
      <c r="K33" s="31"/>
      <c r="L33" s="6">
        <f t="shared" si="2"/>
        <v>-143.61702127659572</v>
      </c>
      <c r="M33" s="6">
        <f t="shared" si="3"/>
        <v>20.948695587463579</v>
      </c>
      <c r="N33" s="31"/>
      <c r="O33" s="31"/>
      <c r="P33" s="31"/>
      <c r="Q33" s="31"/>
      <c r="S33" s="31"/>
      <c r="T33" s="31"/>
      <c r="U33" s="43" t="s">
        <v>235</v>
      </c>
      <c r="V33" s="6">
        <f>AVERAGE(V32)</f>
        <v>120</v>
      </c>
      <c r="W33" s="31"/>
      <c r="X33" s="31"/>
      <c r="Y33" s="31"/>
      <c r="Z33" s="31"/>
      <c r="AA33" s="31"/>
      <c r="AB33" s="31"/>
      <c r="AC33" s="31"/>
      <c r="AD33" s="31"/>
      <c r="AE33" s="31"/>
      <c r="AF33" s="31"/>
      <c r="AG33" s="31"/>
    </row>
    <row r="34" spans="2:33" x14ac:dyDescent="0.25">
      <c r="B34" s="6">
        <f t="shared" si="0"/>
        <v>63</v>
      </c>
      <c r="C34" s="10">
        <v>1</v>
      </c>
      <c r="D34" s="5">
        <v>40971</v>
      </c>
      <c r="E34" s="6" t="s">
        <v>342</v>
      </c>
      <c r="F34" s="33">
        <v>120</v>
      </c>
      <c r="G34" s="31"/>
      <c r="H34" s="31"/>
      <c r="I34" s="31"/>
      <c r="J34" s="31"/>
      <c r="K34" s="31"/>
      <c r="L34" s="6">
        <f t="shared" si="2"/>
        <v>-263.61702127659572</v>
      </c>
      <c r="M34" s="6">
        <f t="shared" si="3"/>
        <v>38.452494567210927</v>
      </c>
      <c r="N34" s="31"/>
      <c r="O34" s="31"/>
      <c r="P34" s="31"/>
      <c r="Q34" s="31"/>
      <c r="S34" s="6">
        <f>DAYS360($B$5,T34)</f>
        <v>22</v>
      </c>
      <c r="T34" s="5">
        <v>40930</v>
      </c>
      <c r="U34" s="30" t="s">
        <v>352</v>
      </c>
      <c r="V34" s="33">
        <v>120</v>
      </c>
      <c r="W34" s="31"/>
      <c r="X34" s="31"/>
      <c r="Y34" s="31"/>
      <c r="Z34" s="31"/>
      <c r="AA34" s="31"/>
      <c r="AB34" s="31"/>
      <c r="AC34" s="31"/>
      <c r="AD34" s="31"/>
      <c r="AE34" s="31"/>
      <c r="AF34" s="31"/>
      <c r="AG34" s="31"/>
    </row>
    <row r="35" spans="2:33" x14ac:dyDescent="0.25">
      <c r="B35" s="6">
        <f t="shared" si="0"/>
        <v>64</v>
      </c>
      <c r="C35" s="10">
        <v>1</v>
      </c>
      <c r="D35" s="5">
        <v>40972</v>
      </c>
      <c r="E35" s="6" t="s">
        <v>342</v>
      </c>
      <c r="F35" s="33">
        <v>90</v>
      </c>
      <c r="G35" s="31"/>
      <c r="H35" s="31"/>
      <c r="I35" s="31"/>
      <c r="J35" s="31"/>
      <c r="K35" s="31"/>
      <c r="L35" s="6">
        <f t="shared" si="2"/>
        <v>-293.61702127659572</v>
      </c>
      <c r="M35" s="6">
        <f t="shared" si="3"/>
        <v>42.828444312147759</v>
      </c>
      <c r="N35" s="31"/>
      <c r="O35" s="31"/>
      <c r="P35" s="31"/>
      <c r="Q35" s="31"/>
      <c r="S35" s="6">
        <f>DAYS360($B$5,T35)</f>
        <v>28</v>
      </c>
      <c r="T35" s="5">
        <v>40936</v>
      </c>
      <c r="U35" s="30" t="s">
        <v>352</v>
      </c>
      <c r="V35" s="33">
        <v>90</v>
      </c>
      <c r="W35" s="31"/>
      <c r="X35" s="31"/>
      <c r="Y35" s="31"/>
      <c r="Z35" s="31"/>
      <c r="AA35" s="31"/>
      <c r="AB35" s="31"/>
      <c r="AC35" s="31"/>
      <c r="AD35" s="31"/>
      <c r="AE35" s="31"/>
      <c r="AF35" s="31"/>
      <c r="AG35" s="31"/>
    </row>
    <row r="36" spans="2:33" x14ac:dyDescent="0.25">
      <c r="B36" s="6">
        <f t="shared" si="0"/>
        <v>75</v>
      </c>
      <c r="C36" s="10">
        <v>1</v>
      </c>
      <c r="D36" s="5">
        <v>40983</v>
      </c>
      <c r="E36" s="6" t="s">
        <v>342</v>
      </c>
      <c r="F36" s="33">
        <v>30</v>
      </c>
      <c r="G36" s="31"/>
      <c r="H36" s="31"/>
      <c r="I36" s="31"/>
      <c r="J36" s="31"/>
      <c r="K36" s="31"/>
      <c r="L36" s="6">
        <f t="shared" si="2"/>
        <v>-353.61702127659572</v>
      </c>
      <c r="M36" s="6">
        <f t="shared" si="3"/>
        <v>51.580343802021432</v>
      </c>
      <c r="N36" s="31"/>
      <c r="O36" s="31"/>
      <c r="P36" s="31"/>
      <c r="Q36" s="31"/>
      <c r="S36" s="6">
        <f>DAYS360($B$5,T36)</f>
        <v>33</v>
      </c>
      <c r="T36" s="5">
        <v>40942</v>
      </c>
      <c r="U36" s="30" t="s">
        <v>352</v>
      </c>
      <c r="V36" s="33">
        <v>60</v>
      </c>
      <c r="W36" s="31"/>
      <c r="X36" s="31"/>
      <c r="Y36" s="31"/>
      <c r="Z36" s="31"/>
      <c r="AA36" s="31"/>
      <c r="AB36" s="31"/>
      <c r="AC36" s="31"/>
      <c r="AD36" s="31"/>
      <c r="AE36" s="31"/>
      <c r="AF36" s="31"/>
      <c r="AG36" s="31"/>
    </row>
    <row r="37" spans="2:33" x14ac:dyDescent="0.25">
      <c r="B37" s="6">
        <f t="shared" si="0"/>
        <v>113</v>
      </c>
      <c r="C37" s="14">
        <v>1</v>
      </c>
      <c r="D37" s="5">
        <v>41022</v>
      </c>
      <c r="E37" s="6" t="s">
        <v>342</v>
      </c>
      <c r="F37" s="33">
        <v>150</v>
      </c>
      <c r="G37" s="31"/>
      <c r="H37" s="31"/>
      <c r="I37" s="31"/>
      <c r="J37" s="31"/>
      <c r="K37" s="31"/>
      <c r="L37" s="6">
        <f t="shared" si="2"/>
        <v>-233.61702127659572</v>
      </c>
      <c r="M37" s="6">
        <f t="shared" si="3"/>
        <v>34.076544822274087</v>
      </c>
      <c r="N37" s="31"/>
      <c r="O37" s="31"/>
      <c r="P37" s="31"/>
      <c r="Q37" s="31"/>
      <c r="S37" s="6">
        <f>DAYS360($B$5,T37)</f>
        <v>59</v>
      </c>
      <c r="T37" s="5">
        <v>40968</v>
      </c>
      <c r="U37" s="30" t="s">
        <v>352</v>
      </c>
      <c r="V37" s="33">
        <v>240</v>
      </c>
      <c r="W37" s="31"/>
      <c r="X37" s="31"/>
      <c r="Y37" s="31"/>
      <c r="Z37" s="31"/>
      <c r="AA37" s="31"/>
      <c r="AB37" s="31"/>
      <c r="AC37" s="31"/>
      <c r="AD37" s="31"/>
      <c r="AE37" s="31"/>
      <c r="AF37" s="31"/>
      <c r="AG37" s="31"/>
    </row>
    <row r="38" spans="2:33" x14ac:dyDescent="0.25">
      <c r="B38" s="6">
        <f t="shared" si="0"/>
        <v>138</v>
      </c>
      <c r="C38" s="14">
        <v>1</v>
      </c>
      <c r="D38" s="5">
        <v>41047</v>
      </c>
      <c r="E38" s="6" t="s">
        <v>342</v>
      </c>
      <c r="F38" s="33">
        <v>30</v>
      </c>
      <c r="G38" s="31"/>
      <c r="H38" s="31"/>
      <c r="I38" s="31"/>
      <c r="J38" s="31"/>
      <c r="K38" s="31"/>
      <c r="L38" s="6">
        <f t="shared" si="2"/>
        <v>-353.61702127659572</v>
      </c>
      <c r="M38" s="6">
        <f t="shared" si="3"/>
        <v>51.580343802021432</v>
      </c>
      <c r="N38" s="31"/>
      <c r="O38" s="31"/>
      <c r="P38" s="31"/>
      <c r="Q38" s="31"/>
      <c r="S38" s="6">
        <f>DAYS360($B$5,T38)</f>
        <v>262</v>
      </c>
      <c r="T38" s="5">
        <v>41174</v>
      </c>
      <c r="U38" s="30" t="s">
        <v>352</v>
      </c>
      <c r="V38" s="33">
        <f>6*24*60</f>
        <v>8640</v>
      </c>
      <c r="W38" s="6">
        <f>COUNT(V34:V38)</f>
        <v>5</v>
      </c>
      <c r="X38" s="6">
        <f>SUM(V34:V38)</f>
        <v>9150</v>
      </c>
      <c r="Y38" s="6">
        <f>(518400-X38)/W38</f>
        <v>101850</v>
      </c>
      <c r="Z38" s="6">
        <f>INT(Y38/60/24)</f>
        <v>70</v>
      </c>
      <c r="AA38" s="6">
        <f>X38/W38</f>
        <v>1830</v>
      </c>
      <c r="AB38" s="6">
        <f>X38-V39</f>
        <v>510</v>
      </c>
      <c r="AC38" s="33">
        <f>SQRT((AB38*AB38)/COUNT(S34:S38))</f>
        <v>228.07893370497854</v>
      </c>
      <c r="AD38" s="6">
        <f>W38/365</f>
        <v>1.3698630136986301E-2</v>
      </c>
      <c r="AE38" s="6">
        <f>AD38*EXP(-AD38*365)</f>
        <v>9.2300643823088586E-5</v>
      </c>
      <c r="AF38" s="6">
        <f>1-EXP(-AD38*365)</f>
        <v>0.99326205300091452</v>
      </c>
      <c r="AG38" s="6">
        <f>EXP(-AD6*365)</f>
        <v>0.36787944117144233</v>
      </c>
    </row>
    <row r="39" spans="2:33" x14ac:dyDescent="0.25">
      <c r="B39" s="6">
        <f t="shared" si="0"/>
        <v>160</v>
      </c>
      <c r="C39" s="14">
        <v>1</v>
      </c>
      <c r="D39" s="5">
        <v>41070</v>
      </c>
      <c r="E39" s="6" t="s">
        <v>342</v>
      </c>
      <c r="F39" s="33">
        <v>90</v>
      </c>
      <c r="G39" s="31"/>
      <c r="H39" s="31"/>
      <c r="I39" s="31"/>
      <c r="J39" s="31"/>
      <c r="K39" s="31"/>
      <c r="L39" s="6">
        <f t="shared" si="2"/>
        <v>-293.61702127659572</v>
      </c>
      <c r="M39" s="6">
        <f t="shared" si="3"/>
        <v>42.828444312147759</v>
      </c>
      <c r="N39" s="31"/>
      <c r="O39" s="31"/>
      <c r="P39" s="31"/>
      <c r="Q39" s="31"/>
      <c r="S39" s="31"/>
      <c r="T39" s="31"/>
      <c r="U39" s="43" t="s">
        <v>235</v>
      </c>
      <c r="V39" s="6">
        <f>AVERAGE(V38)</f>
        <v>8640</v>
      </c>
      <c r="W39" s="31"/>
      <c r="X39" s="31"/>
      <c r="Y39" s="31"/>
      <c r="Z39" s="31"/>
      <c r="AA39" s="31"/>
      <c r="AB39" s="31"/>
      <c r="AC39" s="31"/>
      <c r="AD39" s="31"/>
      <c r="AE39" s="31"/>
      <c r="AF39" s="31"/>
      <c r="AG39" s="31"/>
    </row>
    <row r="40" spans="2:33" x14ac:dyDescent="0.25">
      <c r="B40" s="6">
        <f t="shared" si="0"/>
        <v>189</v>
      </c>
      <c r="C40" s="14">
        <v>1</v>
      </c>
      <c r="D40" s="5">
        <v>41099</v>
      </c>
      <c r="E40" s="6" t="s">
        <v>342</v>
      </c>
      <c r="F40" s="33">
        <v>60</v>
      </c>
      <c r="G40" s="31"/>
      <c r="H40" s="31"/>
      <c r="I40" s="31"/>
      <c r="J40" s="31"/>
      <c r="K40" s="31"/>
      <c r="L40" s="6">
        <f t="shared" si="2"/>
        <v>-323.61702127659572</v>
      </c>
      <c r="M40" s="6">
        <f t="shared" si="3"/>
        <v>47.204394057084592</v>
      </c>
      <c r="N40" s="31"/>
      <c r="O40" s="31"/>
      <c r="P40" s="31"/>
      <c r="Q40" s="31"/>
      <c r="S40" s="6">
        <f>DAYS360($B$5,T40)</f>
        <v>8</v>
      </c>
      <c r="T40" s="5">
        <v>40916</v>
      </c>
      <c r="U40" s="6" t="s">
        <v>347</v>
      </c>
      <c r="V40" s="33">
        <v>120</v>
      </c>
      <c r="W40" s="31"/>
      <c r="X40" s="31"/>
      <c r="Y40" s="31"/>
      <c r="Z40" s="31"/>
      <c r="AA40" s="31"/>
      <c r="AB40" s="31"/>
      <c r="AC40" s="31"/>
      <c r="AD40" s="31"/>
      <c r="AE40" s="31"/>
      <c r="AF40" s="31"/>
      <c r="AG40" s="31"/>
    </row>
    <row r="41" spans="2:33" x14ac:dyDescent="0.25">
      <c r="B41" s="6">
        <f t="shared" si="0"/>
        <v>257</v>
      </c>
      <c r="C41" s="14">
        <v>1</v>
      </c>
      <c r="D41" s="5">
        <v>41169</v>
      </c>
      <c r="E41" s="6" t="s">
        <v>342</v>
      </c>
      <c r="F41" s="33">
        <f>3*24*60</f>
        <v>4320</v>
      </c>
      <c r="G41" s="31"/>
      <c r="H41" s="31"/>
      <c r="I41" s="31"/>
      <c r="J41" s="31"/>
      <c r="K41" s="31"/>
      <c r="L41" s="6">
        <f t="shared" si="2"/>
        <v>3936.3829787234044</v>
      </c>
      <c r="M41" s="6">
        <f t="shared" si="3"/>
        <v>574.1804697239462</v>
      </c>
      <c r="N41" s="31"/>
      <c r="O41" s="31"/>
      <c r="P41" s="31"/>
      <c r="Q41" s="31"/>
      <c r="S41" s="6">
        <f>DAYS360($B$5,T41)</f>
        <v>36</v>
      </c>
      <c r="T41" s="5">
        <v>40945</v>
      </c>
      <c r="U41" s="30" t="s">
        <v>347</v>
      </c>
      <c r="V41" s="33">
        <v>150</v>
      </c>
      <c r="W41" s="31"/>
      <c r="X41" s="31"/>
      <c r="Y41" s="31"/>
      <c r="Z41" s="31"/>
      <c r="AA41" s="31"/>
      <c r="AB41" s="31"/>
      <c r="AC41" s="31"/>
      <c r="AD41" s="31"/>
      <c r="AE41" s="31"/>
      <c r="AF41" s="31"/>
      <c r="AG41" s="31"/>
    </row>
    <row r="42" spans="2:33" x14ac:dyDescent="0.25">
      <c r="B42" s="6">
        <f t="shared" si="0"/>
        <v>262</v>
      </c>
      <c r="C42" s="14">
        <v>1</v>
      </c>
      <c r="D42" s="5">
        <v>41174</v>
      </c>
      <c r="E42" s="6" t="s">
        <v>342</v>
      </c>
      <c r="F42" s="33">
        <f>6*24*60</f>
        <v>8640</v>
      </c>
      <c r="G42" s="31"/>
      <c r="H42" s="31"/>
      <c r="I42" s="31"/>
      <c r="J42" s="31"/>
      <c r="K42" s="31"/>
      <c r="L42" s="6">
        <f t="shared" si="2"/>
        <v>8256.3829787234044</v>
      </c>
      <c r="M42" s="6">
        <f t="shared" si="3"/>
        <v>1204.3172329948509</v>
      </c>
      <c r="N42" s="31"/>
      <c r="O42" s="31"/>
      <c r="P42" s="31"/>
      <c r="Q42" s="31"/>
      <c r="S42" s="6">
        <f>DAYS360($B$5,T42)</f>
        <v>75</v>
      </c>
      <c r="T42" s="5">
        <v>40983</v>
      </c>
      <c r="U42" s="30" t="s">
        <v>347</v>
      </c>
      <c r="V42" s="33">
        <v>30</v>
      </c>
      <c r="W42" s="6">
        <f>COUNT(V40:V42)</f>
        <v>3</v>
      </c>
      <c r="X42" s="6">
        <f>SUM(V40:V42)</f>
        <v>300</v>
      </c>
      <c r="Y42" s="6">
        <f>(518400-X42)/W42</f>
        <v>172700</v>
      </c>
      <c r="Z42" s="6">
        <f>INT(Y42/60/24)</f>
        <v>119</v>
      </c>
      <c r="AA42" s="6">
        <f>X42/W42</f>
        <v>100</v>
      </c>
      <c r="AB42" s="6">
        <f>X42-V43</f>
        <v>270</v>
      </c>
      <c r="AC42" s="33">
        <f>SQRT((AB42*AB42)/COUNT(S40:S42))</f>
        <v>155.88457268119896</v>
      </c>
      <c r="AD42" s="6">
        <f>W42/365</f>
        <v>8.21917808219178E-3</v>
      </c>
      <c r="AE42" s="6">
        <f>AD42*EXP(-AD42*365)</f>
        <v>4.0920878110573119E-4</v>
      </c>
      <c r="AF42" s="6">
        <f>1-EXP(-AD42*365)</f>
        <v>0.95021293163213605</v>
      </c>
      <c r="AG42" s="6">
        <f>EXP(-AD6*365)</f>
        <v>0.36787944117144233</v>
      </c>
    </row>
    <row r="43" spans="2:33" x14ac:dyDescent="0.25">
      <c r="B43" s="6">
        <f t="shared" si="0"/>
        <v>273</v>
      </c>
      <c r="C43" s="14">
        <v>1</v>
      </c>
      <c r="D43" s="5">
        <v>41185</v>
      </c>
      <c r="E43" s="6" t="s">
        <v>342</v>
      </c>
      <c r="F43" s="33">
        <v>120</v>
      </c>
      <c r="G43" s="6">
        <f>COUNT(F25:F43)+1</f>
        <v>20</v>
      </c>
      <c r="H43" s="6">
        <f>SUM(F25:F43)</f>
        <v>14700</v>
      </c>
      <c r="I43" s="6">
        <f>(518400-H43)/G43</f>
        <v>25185</v>
      </c>
      <c r="J43" s="6">
        <f>INT(I43/60/24)</f>
        <v>17</v>
      </c>
      <c r="K43" s="6">
        <f>H43/G43</f>
        <v>735</v>
      </c>
      <c r="L43" s="6">
        <f t="shared" si="2"/>
        <v>-263.61702127659572</v>
      </c>
      <c r="M43" s="6">
        <f t="shared" si="3"/>
        <v>38.452494567210927</v>
      </c>
      <c r="N43" s="6">
        <f>G43/365</f>
        <v>5.4794520547945202E-2</v>
      </c>
      <c r="O43" s="6">
        <f>N43*EXP(-N43*365)</f>
        <v>1.1293992451718124E-10</v>
      </c>
      <c r="P43" s="6">
        <f>1-EXP(-N43*365)</f>
        <v>0.99999999793884642</v>
      </c>
      <c r="Q43" s="6">
        <f>EXP(-N43*365)</f>
        <v>2.0611536224385579E-9</v>
      </c>
      <c r="S43" s="31"/>
      <c r="T43" s="31"/>
      <c r="U43" s="43" t="s">
        <v>235</v>
      </c>
      <c r="V43" s="6">
        <f>AVERAGE(V42)</f>
        <v>30</v>
      </c>
      <c r="W43" s="31"/>
      <c r="X43" s="31"/>
      <c r="Y43" s="31"/>
      <c r="Z43" s="31"/>
      <c r="AA43" s="31"/>
      <c r="AB43" s="31"/>
      <c r="AC43" s="31"/>
      <c r="AD43" s="31"/>
      <c r="AE43" s="31"/>
      <c r="AF43" s="31"/>
      <c r="AG43" s="31"/>
    </row>
    <row r="44" spans="2:33" x14ac:dyDescent="0.25">
      <c r="B44" s="6">
        <f t="shared" si="0"/>
        <v>17</v>
      </c>
      <c r="C44" s="10">
        <v>1</v>
      </c>
      <c r="D44" s="5">
        <v>40925</v>
      </c>
      <c r="E44" s="6" t="s">
        <v>385</v>
      </c>
      <c r="F44" s="33">
        <v>120</v>
      </c>
      <c r="G44" s="31"/>
      <c r="H44" s="31"/>
      <c r="I44" s="31"/>
      <c r="J44" s="31"/>
      <c r="K44" s="31"/>
      <c r="L44" s="6">
        <f t="shared" si="2"/>
        <v>-263.61702127659572</v>
      </c>
      <c r="M44" s="6">
        <f t="shared" si="3"/>
        <v>38.452494567210927</v>
      </c>
      <c r="N44" s="31"/>
      <c r="O44" s="31"/>
      <c r="P44" s="31"/>
      <c r="Q44" s="31"/>
      <c r="S44" s="6">
        <f>DAYS360($B$5,T44)</f>
        <v>12</v>
      </c>
      <c r="T44" s="5">
        <v>40920</v>
      </c>
      <c r="U44" s="30" t="s">
        <v>349</v>
      </c>
      <c r="V44" s="33">
        <v>60</v>
      </c>
      <c r="W44" s="31"/>
      <c r="X44" s="31"/>
      <c r="Y44" s="31"/>
      <c r="Z44" s="31"/>
      <c r="AA44" s="31"/>
      <c r="AB44" s="31"/>
      <c r="AC44" s="31"/>
      <c r="AD44" s="31"/>
      <c r="AE44" s="31"/>
      <c r="AF44" s="31"/>
      <c r="AG44" s="31"/>
    </row>
    <row r="45" spans="2:33" x14ac:dyDescent="0.25">
      <c r="B45" s="6">
        <f t="shared" si="0"/>
        <v>27</v>
      </c>
      <c r="C45" s="10">
        <v>1</v>
      </c>
      <c r="D45" s="5">
        <v>40935</v>
      </c>
      <c r="E45" s="6" t="s">
        <v>385</v>
      </c>
      <c r="F45" s="33">
        <v>60</v>
      </c>
      <c r="G45" s="31"/>
      <c r="H45" s="31"/>
      <c r="I45" s="31"/>
      <c r="J45" s="31"/>
      <c r="K45" s="31"/>
      <c r="L45" s="6">
        <f t="shared" si="2"/>
        <v>-323.61702127659572</v>
      </c>
      <c r="M45" s="6">
        <f t="shared" si="3"/>
        <v>47.204394057084592</v>
      </c>
      <c r="N45" s="31"/>
      <c r="O45" s="31"/>
      <c r="P45" s="31"/>
      <c r="Q45" s="31"/>
      <c r="S45" s="6">
        <f>DAYS360($B$5,T45)</f>
        <v>138</v>
      </c>
      <c r="T45" s="5">
        <v>41047</v>
      </c>
      <c r="U45" s="30" t="s">
        <v>349</v>
      </c>
      <c r="V45" s="33">
        <v>30</v>
      </c>
      <c r="W45" s="31"/>
      <c r="X45" s="31"/>
      <c r="Y45" s="31"/>
      <c r="Z45" s="31"/>
      <c r="AA45" s="31"/>
      <c r="AB45" s="31"/>
      <c r="AC45" s="31"/>
      <c r="AD45" s="31"/>
      <c r="AE45" s="31"/>
      <c r="AF45" s="31"/>
      <c r="AG45" s="31"/>
    </row>
    <row r="46" spans="2:33" x14ac:dyDescent="0.25">
      <c r="B46" s="6">
        <f t="shared" si="0"/>
        <v>118</v>
      </c>
      <c r="C46" s="14">
        <v>1</v>
      </c>
      <c r="D46" s="5">
        <v>41027</v>
      </c>
      <c r="E46" s="6" t="s">
        <v>385</v>
      </c>
      <c r="F46" s="33">
        <v>120</v>
      </c>
      <c r="G46" s="6">
        <f>COUNT(F44:F46)</f>
        <v>3</v>
      </c>
      <c r="H46" s="6">
        <f>SUM(F44:F46)</f>
        <v>300</v>
      </c>
      <c r="I46" s="6">
        <f>(518400-H46)/G46</f>
        <v>172700</v>
      </c>
      <c r="J46" s="6">
        <f>INT(I46/60/24)</f>
        <v>119</v>
      </c>
      <c r="K46" s="6">
        <f>H46/G46</f>
        <v>100</v>
      </c>
      <c r="L46" s="6">
        <f t="shared" si="2"/>
        <v>-263.61702127659572</v>
      </c>
      <c r="M46" s="6">
        <f t="shared" si="3"/>
        <v>38.452494567210927</v>
      </c>
      <c r="N46" s="6">
        <f>G46/365</f>
        <v>8.21917808219178E-3</v>
      </c>
      <c r="O46" s="6">
        <f>N46*EXP(-N46*365)</f>
        <v>4.0920878110573119E-4</v>
      </c>
      <c r="P46" s="6">
        <f>1-EXP(-N46*365)</f>
        <v>0.95021293163213605</v>
      </c>
      <c r="Q46" s="6">
        <f>EXP(-N46*365)</f>
        <v>4.9787068367863965E-2</v>
      </c>
      <c r="S46" s="6">
        <f>DAYS360($B$5,T46)</f>
        <v>189</v>
      </c>
      <c r="T46" s="5">
        <v>41099</v>
      </c>
      <c r="U46" s="30" t="s">
        <v>349</v>
      </c>
      <c r="V46" s="33">
        <v>60</v>
      </c>
      <c r="W46" s="31"/>
      <c r="X46" s="31"/>
      <c r="Y46" s="31"/>
      <c r="Z46" s="31"/>
      <c r="AA46" s="31"/>
      <c r="AB46" s="31"/>
      <c r="AC46" s="31"/>
      <c r="AD46" s="31"/>
      <c r="AE46" s="31"/>
      <c r="AF46" s="31"/>
      <c r="AG46" s="31"/>
    </row>
    <row r="47" spans="2:33" x14ac:dyDescent="0.25">
      <c r="B47" s="6">
        <f t="shared" si="0"/>
        <v>27</v>
      </c>
      <c r="C47" s="10">
        <v>1</v>
      </c>
      <c r="D47" s="5">
        <v>40935</v>
      </c>
      <c r="E47" s="6" t="s">
        <v>370</v>
      </c>
      <c r="F47" s="33">
        <v>240</v>
      </c>
      <c r="G47" s="31"/>
      <c r="H47" s="31"/>
      <c r="I47" s="31"/>
      <c r="J47" s="31"/>
      <c r="K47" s="31"/>
      <c r="L47" s="6">
        <f t="shared" si="2"/>
        <v>-143.61702127659572</v>
      </c>
      <c r="M47" s="6">
        <f t="shared" si="3"/>
        <v>20.948695587463579</v>
      </c>
      <c r="N47" s="31"/>
      <c r="O47" s="31"/>
      <c r="P47" s="31"/>
      <c r="Q47" s="31"/>
      <c r="S47" s="6">
        <f>DAYS360($B$5,T47)</f>
        <v>273</v>
      </c>
      <c r="T47" s="5">
        <v>41185</v>
      </c>
      <c r="U47" s="30" t="s">
        <v>349</v>
      </c>
      <c r="V47" s="33">
        <v>120</v>
      </c>
      <c r="W47" s="6">
        <f>COUNT(V44:V47)</f>
        <v>4</v>
      </c>
      <c r="X47" s="6">
        <f>SUM(V44:V47)</f>
        <v>270</v>
      </c>
      <c r="Y47" s="6">
        <f>(518400-X47)/W47</f>
        <v>129532.5</v>
      </c>
      <c r="Z47" s="6">
        <f>INT(Y47/60/24)</f>
        <v>89</v>
      </c>
      <c r="AA47" s="6">
        <f>X47/W47</f>
        <v>67.5</v>
      </c>
      <c r="AB47" s="6">
        <f>X47-V48</f>
        <v>150</v>
      </c>
      <c r="AC47" s="33">
        <f>SQRT((AB47*AB47)/COUNT(S44:S47))</f>
        <v>75</v>
      </c>
      <c r="AD47" s="6">
        <f>W47/365</f>
        <v>1.0958904109589041E-2</v>
      </c>
      <c r="AE47" s="6">
        <f>AD47*EXP(-AD47*365)</f>
        <v>2.0071933028749785E-4</v>
      </c>
      <c r="AF47" s="6">
        <f>1-EXP(-AD47*365)</f>
        <v>0.98168436111126578</v>
      </c>
      <c r="AG47" s="6">
        <f>EXP(-AD6*365)</f>
        <v>0.36787944117144233</v>
      </c>
    </row>
    <row r="48" spans="2:33" x14ac:dyDescent="0.25">
      <c r="B48" s="6">
        <f t="shared" si="0"/>
        <v>190</v>
      </c>
      <c r="C48" s="14">
        <v>1</v>
      </c>
      <c r="D48" s="5">
        <v>41100</v>
      </c>
      <c r="E48" s="6" t="s">
        <v>370</v>
      </c>
      <c r="F48" s="33">
        <v>120</v>
      </c>
      <c r="G48" s="31"/>
      <c r="H48" s="31"/>
      <c r="I48" s="31"/>
      <c r="J48" s="31"/>
      <c r="K48" s="31"/>
      <c r="L48" s="6">
        <f t="shared" si="2"/>
        <v>-263.61702127659572</v>
      </c>
      <c r="M48" s="6">
        <f t="shared" si="3"/>
        <v>38.452494567210927</v>
      </c>
      <c r="N48" s="31"/>
      <c r="O48" s="31"/>
      <c r="P48" s="31"/>
      <c r="Q48" s="31"/>
      <c r="S48" s="31"/>
      <c r="T48" s="31"/>
      <c r="U48" s="43" t="s">
        <v>235</v>
      </c>
      <c r="V48" s="6">
        <f>AVERAGE(V47)</f>
        <v>120</v>
      </c>
      <c r="W48" s="31"/>
      <c r="X48" s="31"/>
      <c r="Y48" s="31"/>
      <c r="Z48" s="31"/>
      <c r="AA48" s="31"/>
      <c r="AB48" s="31"/>
      <c r="AC48" s="31"/>
      <c r="AD48" s="31"/>
      <c r="AE48" s="31"/>
      <c r="AF48" s="31"/>
      <c r="AG48" s="31"/>
    </row>
    <row r="49" spans="2:33" x14ac:dyDescent="0.25">
      <c r="B49" s="6">
        <f t="shared" si="0"/>
        <v>192</v>
      </c>
      <c r="C49" s="14">
        <v>1</v>
      </c>
      <c r="D49" s="5">
        <v>41102</v>
      </c>
      <c r="E49" s="6" t="s">
        <v>370</v>
      </c>
      <c r="F49" s="33">
        <v>120</v>
      </c>
      <c r="G49" s="31"/>
      <c r="H49" s="31"/>
      <c r="I49" s="31"/>
      <c r="J49" s="31"/>
      <c r="K49" s="31"/>
      <c r="L49" s="6">
        <f t="shared" si="2"/>
        <v>-263.61702127659572</v>
      </c>
      <c r="M49" s="6">
        <f t="shared" si="3"/>
        <v>38.452494567210927</v>
      </c>
      <c r="N49" s="31"/>
      <c r="O49" s="31"/>
      <c r="P49" s="31"/>
      <c r="Q49" s="31"/>
      <c r="S49" s="6">
        <f t="shared" ref="S49:S55" si="5">DAYS360($B$5,T49)</f>
        <v>10</v>
      </c>
      <c r="T49" s="5">
        <v>40918</v>
      </c>
      <c r="U49" s="30" t="s">
        <v>351</v>
      </c>
      <c r="V49" s="33">
        <v>60</v>
      </c>
      <c r="W49" s="31"/>
      <c r="X49" s="31"/>
      <c r="Y49" s="31"/>
      <c r="Z49" s="31"/>
      <c r="AA49" s="31"/>
      <c r="AB49" s="31"/>
      <c r="AC49" s="31"/>
      <c r="AD49" s="31"/>
      <c r="AE49" s="31"/>
      <c r="AF49" s="31"/>
      <c r="AG49" s="31"/>
    </row>
    <row r="50" spans="2:33" x14ac:dyDescent="0.25">
      <c r="B50" s="6">
        <f t="shared" si="0"/>
        <v>196</v>
      </c>
      <c r="C50" s="14">
        <v>1</v>
      </c>
      <c r="D50" s="5">
        <v>41106</v>
      </c>
      <c r="E50" s="6" t="s">
        <v>370</v>
      </c>
      <c r="F50" s="33">
        <v>60</v>
      </c>
      <c r="G50" s="31"/>
      <c r="H50" s="31"/>
      <c r="I50" s="31"/>
      <c r="J50" s="31"/>
      <c r="K50" s="31"/>
      <c r="L50" s="6">
        <f t="shared" si="2"/>
        <v>-323.61702127659572</v>
      </c>
      <c r="M50" s="6">
        <f t="shared" si="3"/>
        <v>47.204394057084592</v>
      </c>
      <c r="N50" s="31"/>
      <c r="O50" s="31"/>
      <c r="P50" s="31"/>
      <c r="Q50" s="31"/>
      <c r="S50" s="6">
        <f t="shared" si="5"/>
        <v>11</v>
      </c>
      <c r="T50" s="5">
        <v>40919</v>
      </c>
      <c r="U50" s="30" t="s">
        <v>351</v>
      </c>
      <c r="V50" s="33">
        <v>150</v>
      </c>
      <c r="W50" s="31"/>
      <c r="X50" s="31"/>
      <c r="Y50" s="31"/>
      <c r="Z50" s="31"/>
      <c r="AA50" s="31"/>
      <c r="AB50" s="31"/>
      <c r="AC50" s="31"/>
      <c r="AD50" s="31"/>
      <c r="AE50" s="31"/>
      <c r="AF50" s="31"/>
      <c r="AG50" s="31"/>
    </row>
    <row r="51" spans="2:33" x14ac:dyDescent="0.25">
      <c r="B51" s="6">
        <f t="shared" si="0"/>
        <v>257</v>
      </c>
      <c r="C51" s="14">
        <v>1</v>
      </c>
      <c r="D51" s="5">
        <v>41169</v>
      </c>
      <c r="E51" s="6" t="s">
        <v>370</v>
      </c>
      <c r="F51" s="33">
        <v>60</v>
      </c>
      <c r="G51" s="31"/>
      <c r="H51" s="31"/>
      <c r="I51" s="31"/>
      <c r="J51" s="31"/>
      <c r="K51" s="31"/>
      <c r="L51" s="6">
        <f t="shared" si="2"/>
        <v>-323.61702127659572</v>
      </c>
      <c r="M51" s="6">
        <f t="shared" si="3"/>
        <v>47.204394057084592</v>
      </c>
      <c r="N51" s="31"/>
      <c r="O51" s="31"/>
      <c r="P51" s="31"/>
      <c r="Q51" s="31"/>
      <c r="S51" s="6">
        <f t="shared" si="5"/>
        <v>63</v>
      </c>
      <c r="T51" s="5">
        <v>40971</v>
      </c>
      <c r="U51" s="30" t="s">
        <v>351</v>
      </c>
      <c r="V51" s="33">
        <v>120</v>
      </c>
      <c r="W51" s="31"/>
      <c r="X51" s="31"/>
      <c r="Y51" s="31"/>
      <c r="Z51" s="31"/>
      <c r="AA51" s="31"/>
      <c r="AB51" s="31"/>
      <c r="AC51" s="31"/>
      <c r="AD51" s="31"/>
      <c r="AE51" s="31"/>
      <c r="AF51" s="31"/>
      <c r="AG51" s="31"/>
    </row>
    <row r="52" spans="2:33" x14ac:dyDescent="0.25">
      <c r="B52" s="6">
        <f t="shared" si="0"/>
        <v>296</v>
      </c>
      <c r="C52" s="14">
        <v>1</v>
      </c>
      <c r="D52" s="5">
        <v>41208</v>
      </c>
      <c r="E52" s="6" t="s">
        <v>370</v>
      </c>
      <c r="F52" s="33">
        <v>360</v>
      </c>
      <c r="G52" s="6">
        <f>COUNT(F47:F52)+1</f>
        <v>7</v>
      </c>
      <c r="H52" s="6">
        <f>SUM(F47:F52)</f>
        <v>960</v>
      </c>
      <c r="I52" s="6">
        <f>(518400-H52)/G52</f>
        <v>73920</v>
      </c>
      <c r="J52" s="6">
        <f>INT(I52/60/24)</f>
        <v>51</v>
      </c>
      <c r="K52" s="6">
        <f>H52/G52</f>
        <v>137.14285714285714</v>
      </c>
      <c r="L52" s="6">
        <f t="shared" si="2"/>
        <v>-23.617021276595722</v>
      </c>
      <c r="M52" s="6">
        <f t="shared" si="3"/>
        <v>3.4448966077162297</v>
      </c>
      <c r="N52" s="6">
        <f>G52/365</f>
        <v>1.9178082191780823E-2</v>
      </c>
      <c r="O52" s="6">
        <f>N52*EXP(-N52*365)</f>
        <v>1.7488147284607161E-5</v>
      </c>
      <c r="P52" s="6">
        <f>1-EXP(-N52*365)</f>
        <v>0.99908811803444553</v>
      </c>
      <c r="Q52" s="6">
        <f>EXP(-N52*365)</f>
        <v>9.1188196555451624E-4</v>
      </c>
      <c r="S52" s="6">
        <f t="shared" si="5"/>
        <v>64</v>
      </c>
      <c r="T52" s="5">
        <v>40972</v>
      </c>
      <c r="U52" s="30" t="s">
        <v>351</v>
      </c>
      <c r="V52" s="33">
        <v>90</v>
      </c>
      <c r="W52" s="31"/>
      <c r="X52" s="31"/>
      <c r="Y52" s="31"/>
      <c r="Z52" s="31"/>
      <c r="AA52" s="31"/>
      <c r="AB52" s="31"/>
      <c r="AC52" s="31"/>
      <c r="AD52" s="31"/>
      <c r="AE52" s="31"/>
      <c r="AF52" s="31"/>
      <c r="AG52" s="31"/>
    </row>
    <row r="53" spans="2:33" x14ac:dyDescent="0.25">
      <c r="E53" s="43" t="s">
        <v>235</v>
      </c>
      <c r="F53" s="6">
        <f>AVERAGE(F6:F52)</f>
        <v>383.61702127659572</v>
      </c>
      <c r="S53" s="6">
        <f t="shared" si="5"/>
        <v>113</v>
      </c>
      <c r="T53" s="5">
        <v>41022</v>
      </c>
      <c r="U53" s="30" t="s">
        <v>351</v>
      </c>
      <c r="V53" s="33">
        <v>150</v>
      </c>
      <c r="W53" s="31"/>
      <c r="X53" s="31"/>
      <c r="Y53" s="31"/>
      <c r="Z53" s="31"/>
      <c r="AA53" s="31"/>
      <c r="AB53" s="31"/>
      <c r="AC53" s="31"/>
      <c r="AD53" s="31"/>
      <c r="AE53" s="31"/>
      <c r="AF53" s="31"/>
      <c r="AG53" s="31"/>
    </row>
    <row r="54" spans="2:33" x14ac:dyDescent="0.25">
      <c r="S54" s="6">
        <f t="shared" si="5"/>
        <v>160</v>
      </c>
      <c r="T54" s="5">
        <v>41070</v>
      </c>
      <c r="U54" s="30" t="s">
        <v>351</v>
      </c>
      <c r="V54" s="33">
        <v>90</v>
      </c>
      <c r="W54" s="31"/>
      <c r="X54" s="31"/>
      <c r="Y54" s="31"/>
      <c r="Z54" s="31"/>
      <c r="AA54" s="31"/>
      <c r="AB54" s="31"/>
      <c r="AC54" s="31"/>
      <c r="AD54" s="31"/>
      <c r="AE54" s="31"/>
      <c r="AF54" s="31"/>
      <c r="AG54" s="31"/>
    </row>
    <row r="55" spans="2:33" x14ac:dyDescent="0.25">
      <c r="S55" s="6">
        <f t="shared" si="5"/>
        <v>257</v>
      </c>
      <c r="T55" s="5">
        <v>41169</v>
      </c>
      <c r="U55" s="30" t="s">
        <v>351</v>
      </c>
      <c r="V55" s="33">
        <f>3*24*60</f>
        <v>4320</v>
      </c>
      <c r="W55" s="6">
        <f>COUNT(V49:V55)</f>
        <v>7</v>
      </c>
      <c r="X55" s="6">
        <f>SUM(V49:V55)</f>
        <v>4980</v>
      </c>
      <c r="Y55" s="6">
        <f>(518400-X55)/W55</f>
        <v>73345.71428571429</v>
      </c>
      <c r="Z55" s="6">
        <f>INT(Y55/60/24)</f>
        <v>50</v>
      </c>
      <c r="AA55" s="6">
        <f>X55/W55</f>
        <v>711.42857142857144</v>
      </c>
      <c r="AB55" s="6">
        <f>X55-V56</f>
        <v>660</v>
      </c>
      <c r="AC55" s="33">
        <f>SQRT((AB55*AB55)/COUNT(S49:S55))</f>
        <v>249.45655218608997</v>
      </c>
      <c r="AD55" s="6">
        <f>W55/365</f>
        <v>1.9178082191780823E-2</v>
      </c>
      <c r="AE55" s="6">
        <f>AD55*EXP(-AD55*365)</f>
        <v>1.7488147284607161E-5</v>
      </c>
      <c r="AF55" s="6">
        <f>1-EXP(-AD55*365)</f>
        <v>0.99908811803444553</v>
      </c>
      <c r="AG55" s="6">
        <f>EXP(-AD6*365)</f>
        <v>0.36787944117144233</v>
      </c>
    </row>
    <row r="56" spans="2:33" x14ac:dyDescent="0.25">
      <c r="B56" s="32" t="s">
        <v>193</v>
      </c>
      <c r="S56" s="31"/>
      <c r="T56" s="31"/>
      <c r="U56" s="43" t="s">
        <v>235</v>
      </c>
      <c r="V56" s="6">
        <f>AVERAGE(V55)</f>
        <v>4320</v>
      </c>
      <c r="W56" s="31"/>
      <c r="X56" s="31"/>
      <c r="Y56" s="31"/>
      <c r="Z56" s="31"/>
      <c r="AA56" s="31"/>
      <c r="AB56" s="31"/>
      <c r="AC56" s="31"/>
      <c r="AD56" s="31"/>
      <c r="AE56" s="31"/>
      <c r="AF56" s="31"/>
      <c r="AG56" s="31"/>
    </row>
    <row r="57" spans="2:33" x14ac:dyDescent="0.25">
      <c r="B57" t="s">
        <v>255</v>
      </c>
      <c r="S57" s="6">
        <f>DAYS360($B$5,T57)</f>
        <v>308</v>
      </c>
      <c r="T57" s="5">
        <v>41221</v>
      </c>
      <c r="U57" s="6" t="s">
        <v>402</v>
      </c>
      <c r="V57" s="33">
        <v>120</v>
      </c>
      <c r="W57" s="6">
        <f>COUNT(V57:V57)</f>
        <v>1</v>
      </c>
      <c r="X57" s="6">
        <f>SUM(V57:V57)</f>
        <v>120</v>
      </c>
      <c r="Y57" s="6">
        <f t="shared" ref="Y57" si="6">(518400-X57)/W57</f>
        <v>518280</v>
      </c>
      <c r="Z57" s="6">
        <f t="shared" ref="Z57" si="7">INT(Y57/60/24)</f>
        <v>359</v>
      </c>
      <c r="AA57" s="6">
        <f>X57/W57</f>
        <v>120</v>
      </c>
      <c r="AB57" s="6">
        <f>X57-V58</f>
        <v>0</v>
      </c>
      <c r="AC57" s="33">
        <f>SQRT((AB57*AB57)/COUNT(S57))</f>
        <v>0</v>
      </c>
      <c r="AD57" s="6">
        <f>W57/365</f>
        <v>2.7397260273972603E-3</v>
      </c>
      <c r="AE57" s="6">
        <f>AD57*EXP(-AD57*365)</f>
        <v>1.0078888799217598E-3</v>
      </c>
      <c r="AF57" s="6">
        <f>1-EXP(-AD57*365)</f>
        <v>0.63212055882855767</v>
      </c>
      <c r="AG57" s="6">
        <f>EXP(-AD6*365)</f>
        <v>0.36787944117144233</v>
      </c>
    </row>
    <row r="58" spans="2:33" x14ac:dyDescent="0.25">
      <c r="S58" s="31"/>
      <c r="T58" s="31"/>
      <c r="U58" s="43" t="s">
        <v>235</v>
      </c>
      <c r="V58" s="6">
        <f>AVERAGE(V57)</f>
        <v>120</v>
      </c>
      <c r="W58" s="31"/>
      <c r="X58" s="31"/>
      <c r="Y58" s="31"/>
      <c r="Z58" s="31"/>
      <c r="AA58" s="31"/>
      <c r="AB58" s="31"/>
      <c r="AC58" s="31"/>
      <c r="AD58" s="31"/>
      <c r="AE58" s="31"/>
      <c r="AF58" s="31"/>
      <c r="AG58" s="31"/>
    </row>
    <row r="59" spans="2:33" x14ac:dyDescent="0.25">
      <c r="B59" s="37" t="s">
        <v>209</v>
      </c>
      <c r="S59" s="6">
        <f>DAYS360($B$5,T59)</f>
        <v>81</v>
      </c>
      <c r="T59" s="5">
        <v>40989</v>
      </c>
      <c r="U59" s="6" t="s">
        <v>417</v>
      </c>
      <c r="V59" s="33">
        <v>60</v>
      </c>
      <c r="W59" s="6">
        <f>COUNT(V59:V59)</f>
        <v>1</v>
      </c>
      <c r="X59" s="6">
        <f>SUM(V59:V59)</f>
        <v>60</v>
      </c>
      <c r="Y59" s="6">
        <f>(518400-X59)/W59</f>
        <v>518340</v>
      </c>
      <c r="Z59" s="6">
        <f>INT(Y59/60/24)</f>
        <v>359</v>
      </c>
      <c r="AA59" s="6">
        <f>X59/W59</f>
        <v>60</v>
      </c>
      <c r="AB59" s="6">
        <f>X59-V60</f>
        <v>0</v>
      </c>
      <c r="AC59" s="33">
        <f>SQRT((AB59*AB59)/COUNT(S59))</f>
        <v>0</v>
      </c>
      <c r="AD59" s="6">
        <f>W59/365</f>
        <v>2.7397260273972603E-3</v>
      </c>
      <c r="AE59" s="6">
        <f>AD59*EXP(-AD59*365)</f>
        <v>1.0078888799217598E-3</v>
      </c>
      <c r="AF59" s="6">
        <f>1-EXP(-AD59*365)</f>
        <v>0.63212055882855767</v>
      </c>
      <c r="AG59" s="6">
        <f>EXP(-AD6*365)</f>
        <v>0.36787944117144233</v>
      </c>
    </row>
    <row r="60" spans="2:33" x14ac:dyDescent="0.25">
      <c r="B60" s="37" t="s">
        <v>210</v>
      </c>
      <c r="S60" s="31"/>
      <c r="T60" s="31"/>
      <c r="U60" s="43" t="s">
        <v>235</v>
      </c>
      <c r="V60" s="6">
        <f>AVERAGE(V59)</f>
        <v>60</v>
      </c>
      <c r="W60" s="31"/>
      <c r="X60" s="31"/>
      <c r="Y60" s="31"/>
      <c r="Z60" s="31"/>
      <c r="AA60" s="31"/>
      <c r="AB60" s="31"/>
      <c r="AC60" s="31"/>
      <c r="AD60" s="31"/>
      <c r="AE60" s="31"/>
      <c r="AF60" s="31"/>
      <c r="AG60" s="31"/>
    </row>
    <row r="61" spans="2:33" x14ac:dyDescent="0.25">
      <c r="B61" s="40" t="s">
        <v>222</v>
      </c>
      <c r="S61" s="6">
        <f>DAYS360($B$5,T61)</f>
        <v>18</v>
      </c>
      <c r="T61" s="5">
        <v>40926</v>
      </c>
      <c r="U61" s="6" t="s">
        <v>404</v>
      </c>
      <c r="V61" s="33">
        <v>150</v>
      </c>
      <c r="W61" s="6">
        <f>COUNT(V61:V61)</f>
        <v>1</v>
      </c>
      <c r="X61" s="6">
        <f>SUM(V61:V61)</f>
        <v>150</v>
      </c>
      <c r="Y61" s="6">
        <f>(518400-X61)/W61</f>
        <v>518250</v>
      </c>
      <c r="Z61" s="6">
        <f>INT(Y61/60/24)</f>
        <v>359</v>
      </c>
      <c r="AA61" s="6">
        <f>X61/W61</f>
        <v>150</v>
      </c>
      <c r="AB61" s="6">
        <f>X61-V62</f>
        <v>0</v>
      </c>
      <c r="AC61" s="33">
        <f>SQRT((AB61*AB61)/COUNT(S61))</f>
        <v>0</v>
      </c>
      <c r="AD61" s="6">
        <f>W61/365</f>
        <v>2.7397260273972603E-3</v>
      </c>
      <c r="AE61" s="6">
        <f>AD61*EXP(-AD61*365)</f>
        <v>1.0078888799217598E-3</v>
      </c>
      <c r="AF61" s="6">
        <f>1-EXP(-AD61*365)</f>
        <v>0.63212055882855767</v>
      </c>
      <c r="AG61" s="6">
        <f>EXP(-AD6*365)</f>
        <v>0.36787944117144233</v>
      </c>
    </row>
    <row r="62" spans="2:33" x14ac:dyDescent="0.25">
      <c r="B62" s="40" t="s">
        <v>232</v>
      </c>
      <c r="S62" s="31"/>
      <c r="T62" s="31"/>
      <c r="U62" s="43" t="s">
        <v>235</v>
      </c>
      <c r="V62" s="6">
        <f>AVERAGE(V61)</f>
        <v>150</v>
      </c>
      <c r="W62" s="31"/>
      <c r="X62" s="31"/>
      <c r="Y62" s="31"/>
      <c r="Z62" s="31"/>
      <c r="AA62" s="31"/>
      <c r="AB62" s="31"/>
      <c r="AC62" s="31"/>
      <c r="AD62" s="31"/>
      <c r="AE62" s="31"/>
      <c r="AF62" s="31"/>
      <c r="AG62" s="31"/>
    </row>
    <row r="63" spans="2:33" x14ac:dyDescent="0.25">
      <c r="B63" s="40"/>
      <c r="S63" s="6">
        <f>DAYS360($B$5,T63)</f>
        <v>18</v>
      </c>
      <c r="T63" s="5">
        <v>40926</v>
      </c>
      <c r="U63" s="6" t="s">
        <v>403</v>
      </c>
      <c r="V63" s="33">
        <v>30</v>
      </c>
      <c r="W63" s="6">
        <f>COUNT(V63:V63)</f>
        <v>1</v>
      </c>
      <c r="X63" s="6">
        <f>SUM(V63:V63)</f>
        <v>30</v>
      </c>
      <c r="Y63" s="6">
        <f>(518400-X63)/W63</f>
        <v>518370</v>
      </c>
      <c r="Z63" s="6">
        <f>INT(Y63/60/24)</f>
        <v>359</v>
      </c>
      <c r="AA63" s="6">
        <f>X63/W63</f>
        <v>30</v>
      </c>
      <c r="AB63" s="6">
        <f>X63-V64</f>
        <v>0</v>
      </c>
      <c r="AC63" s="33">
        <f>SQRT((AB63*AB63)/COUNT(S63))</f>
        <v>0</v>
      </c>
      <c r="AD63" s="6">
        <f>W63/365</f>
        <v>2.7397260273972603E-3</v>
      </c>
      <c r="AE63" s="6">
        <f>AD63*EXP(-AD63*365)</f>
        <v>1.0078888799217598E-3</v>
      </c>
      <c r="AF63" s="6">
        <f>1-EXP(-AD63*365)</f>
        <v>0.63212055882855767</v>
      </c>
      <c r="AG63" s="6">
        <f>EXP(-AD6*365)</f>
        <v>0.36787944117144233</v>
      </c>
    </row>
    <row r="64" spans="2:33" x14ac:dyDescent="0.25">
      <c r="B64" t="s">
        <v>234</v>
      </c>
      <c r="S64" s="31"/>
      <c r="T64" s="31"/>
      <c r="U64" s="43" t="s">
        <v>235</v>
      </c>
      <c r="V64" s="6">
        <f>AVERAGE(V63)</f>
        <v>30</v>
      </c>
      <c r="W64" s="31"/>
      <c r="X64" s="31"/>
      <c r="Y64" s="31"/>
      <c r="Z64" s="31"/>
      <c r="AA64" s="31"/>
      <c r="AB64" s="31"/>
      <c r="AC64" s="31"/>
      <c r="AD64" s="31"/>
      <c r="AE64" s="31"/>
      <c r="AF64" s="31"/>
      <c r="AG64" s="31"/>
    </row>
    <row r="65" spans="2:33" x14ac:dyDescent="0.25">
      <c r="S65" s="6">
        <f>DAYS360($B$5,T65)</f>
        <v>27</v>
      </c>
      <c r="T65" s="5">
        <v>40935</v>
      </c>
      <c r="U65" s="6" t="s">
        <v>396</v>
      </c>
      <c r="V65" s="33">
        <v>60</v>
      </c>
      <c r="W65" s="6">
        <f>COUNT(V65:V65)</f>
        <v>1</v>
      </c>
      <c r="X65" s="6">
        <f>SUM(V65:V65)</f>
        <v>60</v>
      </c>
      <c r="Y65" s="6">
        <f>(518400-X65)/W65</f>
        <v>518340</v>
      </c>
      <c r="Z65" s="6">
        <f>INT(Y65/60/24)</f>
        <v>359</v>
      </c>
      <c r="AA65" s="6">
        <f>X65/W65</f>
        <v>60</v>
      </c>
      <c r="AB65" s="6">
        <f>X65-V66</f>
        <v>0</v>
      </c>
      <c r="AC65" s="33">
        <f>SQRT((AB65*AB65)/COUNT(S65))</f>
        <v>0</v>
      </c>
      <c r="AD65" s="6">
        <f>W65/365</f>
        <v>2.7397260273972603E-3</v>
      </c>
      <c r="AE65" s="6">
        <f>AD65*EXP(-AD65*365)</f>
        <v>1.0078888799217598E-3</v>
      </c>
      <c r="AF65" s="6">
        <f>1-EXP(-AD65*365)</f>
        <v>0.63212055882855767</v>
      </c>
      <c r="AG65" s="6">
        <f>EXP(-AD6*365)</f>
        <v>0.36787944117144233</v>
      </c>
    </row>
    <row r="66" spans="2:33" x14ac:dyDescent="0.25">
      <c r="B66" t="s">
        <v>225</v>
      </c>
      <c r="S66" s="31"/>
      <c r="T66" s="31"/>
      <c r="U66" s="43" t="s">
        <v>235</v>
      </c>
      <c r="V66" s="6">
        <f>AVERAGE(V65)</f>
        <v>60</v>
      </c>
      <c r="W66" s="31"/>
      <c r="X66" s="31"/>
      <c r="Y66" s="31"/>
      <c r="Z66" s="31"/>
      <c r="AA66" s="31"/>
      <c r="AB66" s="31"/>
      <c r="AC66" s="31"/>
      <c r="AD66" s="31"/>
      <c r="AE66" s="31"/>
      <c r="AF66" s="31"/>
      <c r="AG66" s="31"/>
    </row>
    <row r="67" spans="2:33" x14ac:dyDescent="0.25">
      <c r="C67" t="s">
        <v>226</v>
      </c>
      <c r="S67" s="6">
        <f>DAYS360($B$5,T67)</f>
        <v>17</v>
      </c>
      <c r="T67" s="5">
        <v>40925</v>
      </c>
      <c r="U67" s="6" t="s">
        <v>399</v>
      </c>
      <c r="V67" s="33">
        <v>120</v>
      </c>
      <c r="W67" s="31"/>
      <c r="X67" s="31"/>
      <c r="Y67" s="31"/>
      <c r="Z67" s="31"/>
      <c r="AA67" s="31"/>
      <c r="AB67" s="31"/>
      <c r="AC67" s="31"/>
      <c r="AD67" s="31"/>
      <c r="AE67" s="31"/>
      <c r="AF67" s="31"/>
      <c r="AG67" s="31"/>
    </row>
    <row r="68" spans="2:33" x14ac:dyDescent="0.25">
      <c r="C68" t="s">
        <v>227</v>
      </c>
      <c r="S68" s="6">
        <f>DAYS360($B$5,T68)</f>
        <v>118</v>
      </c>
      <c r="T68" s="5">
        <v>41027</v>
      </c>
      <c r="U68" s="6" t="s">
        <v>399</v>
      </c>
      <c r="V68" s="33">
        <v>120</v>
      </c>
      <c r="W68" s="6">
        <f>COUNT(V67:V68)</f>
        <v>2</v>
      </c>
      <c r="X68" s="6">
        <f>SUM(V67:V68)</f>
        <v>240</v>
      </c>
      <c r="Y68" s="6">
        <f>(518400-X68)/W68</f>
        <v>259080</v>
      </c>
      <c r="Z68" s="6">
        <f>INT(Y68/60/24)</f>
        <v>179</v>
      </c>
      <c r="AA68" s="6">
        <f>X68/W68</f>
        <v>120</v>
      </c>
      <c r="AB68" s="6">
        <f>X68-V69</f>
        <v>120</v>
      </c>
      <c r="AC68" s="33">
        <f>SQRT((AB68*AB68)/COUNT(S67:S68))</f>
        <v>84.852813742385706</v>
      </c>
      <c r="AD68" s="6">
        <f>W68/365</f>
        <v>5.4794520547945206E-3</v>
      </c>
      <c r="AE68" s="6">
        <f>AD68*EXP(-AD68*365)</f>
        <v>7.4156319581705592E-4</v>
      </c>
      <c r="AF68" s="6">
        <f>1-EXP(-AD68*365)</f>
        <v>0.8646647167633873</v>
      </c>
      <c r="AG68" s="6">
        <f>EXP(-AD6*365)</f>
        <v>0.36787944117144233</v>
      </c>
    </row>
    <row r="69" spans="2:33" x14ac:dyDescent="0.25">
      <c r="C69" t="s">
        <v>228</v>
      </c>
      <c r="S69" s="31"/>
      <c r="T69" s="31"/>
      <c r="U69" s="43" t="s">
        <v>235</v>
      </c>
      <c r="V69" s="6">
        <f>AVERAGE(V68)</f>
        <v>120</v>
      </c>
      <c r="W69" s="31"/>
      <c r="X69" s="31"/>
      <c r="Y69" s="31"/>
      <c r="Z69" s="31"/>
      <c r="AA69" s="31"/>
      <c r="AB69" s="31"/>
      <c r="AC69" s="31"/>
      <c r="AD69" s="31"/>
      <c r="AE69" s="31"/>
      <c r="AF69" s="31"/>
      <c r="AG69" s="31"/>
    </row>
    <row r="71" spans="2:33" x14ac:dyDescent="0.25">
      <c r="B71" t="s">
        <v>229</v>
      </c>
    </row>
  </sheetData>
  <sheetProtection sheet="1" objects="1" scenarios="1"/>
  <sortState ref="S6:Z53">
    <sortCondition ref="U6:U53"/>
  </sortState>
  <mergeCells count="2">
    <mergeCell ref="B2:Q3"/>
    <mergeCell ref="S2:AG3"/>
  </mergeCells>
  <pageMargins left="0.7" right="0.7" top="0.75" bottom="0.75" header="0.3" footer="0.3"/>
  <pageSetup paperSize="9" orientation="portrait" horizontalDpi="300" verticalDpi="0" copies="0" r:id="rId1"/>
  <drawing r:id="rId2"/>
  <legacyDrawing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sheetPr>
  <dimension ref="A1:O98"/>
  <sheetViews>
    <sheetView topLeftCell="AL1" zoomScale="85" zoomScaleNormal="85" workbookViewId="0">
      <selection activeCell="BF36" sqref="BF36"/>
    </sheetView>
  </sheetViews>
  <sheetFormatPr defaultRowHeight="15" x14ac:dyDescent="0.25"/>
  <cols>
    <col min="1" max="1" width="10.42578125" style="16" bestFit="1" customWidth="1"/>
    <col min="2" max="2" width="24.28515625" style="16" bestFit="1" customWidth="1"/>
    <col min="3" max="3" width="28.7109375" style="16" bestFit="1" customWidth="1"/>
    <col min="4" max="4" width="32.5703125" style="16" bestFit="1" customWidth="1"/>
    <col min="5" max="5" width="11.7109375" style="16" bestFit="1" customWidth="1"/>
    <col min="6" max="6" width="11.28515625" style="16" bestFit="1" customWidth="1"/>
    <col min="7" max="7" width="20.85546875" style="16" bestFit="1" customWidth="1"/>
    <col min="8" max="8" width="17.85546875" style="16" bestFit="1" customWidth="1"/>
    <col min="9" max="10" width="17.5703125" style="16" bestFit="1" customWidth="1"/>
    <col min="11" max="11" width="9.140625" style="16" customWidth="1"/>
    <col min="15" max="57" width="9.140625" style="16" customWidth="1"/>
    <col min="58" max="16384" width="9.140625" style="16"/>
  </cols>
  <sheetData>
    <row r="1" spans="1:10" ht="15" customHeight="1" x14ac:dyDescent="0.25"/>
    <row r="2" spans="1:10" ht="15" customHeight="1" x14ac:dyDescent="0.25"/>
    <row r="3" spans="1:10" ht="15" customHeight="1" x14ac:dyDescent="0.25">
      <c r="A3" s="17" t="s">
        <v>165</v>
      </c>
      <c r="B3" s="17" t="s">
        <v>212</v>
      </c>
      <c r="C3" s="17" t="s">
        <v>249</v>
      </c>
      <c r="D3" s="17" t="s">
        <v>249</v>
      </c>
      <c r="E3" s="17" t="s">
        <v>208</v>
      </c>
      <c r="F3" s="17" t="s">
        <v>5</v>
      </c>
      <c r="G3" s="17" t="s">
        <v>2</v>
      </c>
      <c r="H3" s="17" t="s">
        <v>0</v>
      </c>
      <c r="I3" s="17" t="s">
        <v>213</v>
      </c>
      <c r="J3" s="17" t="s">
        <v>213</v>
      </c>
    </row>
    <row r="4" spans="1:10" ht="15" customHeight="1" x14ac:dyDescent="0.25">
      <c r="A4" s="17"/>
      <c r="B4" s="17" t="s">
        <v>215</v>
      </c>
      <c r="C4" s="17" t="s">
        <v>250</v>
      </c>
      <c r="D4" s="17" t="s">
        <v>252</v>
      </c>
      <c r="E4" s="17"/>
      <c r="F4" s="17"/>
      <c r="G4" s="17"/>
      <c r="H4" s="17"/>
      <c r="I4" s="17" t="s">
        <v>216</v>
      </c>
      <c r="J4" s="17" t="s">
        <v>216</v>
      </c>
    </row>
    <row r="5" spans="1:10" ht="15" customHeight="1" x14ac:dyDescent="0.25">
      <c r="A5" s="18">
        <v>40908</v>
      </c>
      <c r="B5" s="18" t="s">
        <v>214</v>
      </c>
      <c r="C5" s="18" t="s">
        <v>253</v>
      </c>
      <c r="D5" s="18" t="s">
        <v>254</v>
      </c>
      <c r="E5" s="18" t="s">
        <v>251</v>
      </c>
      <c r="I5" s="16" t="s">
        <v>214</v>
      </c>
      <c r="J5" s="16" t="s">
        <v>187</v>
      </c>
    </row>
    <row r="6" spans="1:10" ht="15" customHeight="1" x14ac:dyDescent="0.25">
      <c r="A6" s="18"/>
      <c r="B6" s="18"/>
      <c r="C6" s="18"/>
      <c r="D6" s="18"/>
      <c r="E6" s="18"/>
    </row>
    <row r="7" spans="1:10" s="28" customFormat="1" ht="15" customHeight="1" x14ac:dyDescent="0.25">
      <c r="A7" s="29">
        <f>DAYS360($A$5,F7)</f>
        <v>308</v>
      </c>
      <c r="B7" s="29">
        <f>A7*24</f>
        <v>7392</v>
      </c>
      <c r="C7" s="26">
        <f>1-EXP(-A7*$E$7)</f>
        <v>0.5699421809549361</v>
      </c>
      <c r="D7" s="26">
        <f>EXP(-A7*$E$7)</f>
        <v>0.43005781904506396</v>
      </c>
      <c r="E7" s="26">
        <f>'2012 - MTBF, MTTF, Exponencial'!AD57</f>
        <v>2.7397260273972603E-3</v>
      </c>
      <c r="F7" s="27">
        <v>41221</v>
      </c>
      <c r="G7" s="28" t="s">
        <v>406</v>
      </c>
      <c r="H7" s="28" t="s">
        <v>6</v>
      </c>
      <c r="I7" s="16">
        <f>J7/60</f>
        <v>2</v>
      </c>
      <c r="J7" s="16">
        <v>120</v>
      </c>
    </row>
    <row r="8" spans="1:10" s="28" customFormat="1" ht="15" customHeight="1" x14ac:dyDescent="0.25">
      <c r="A8" s="47">
        <f>360-A7</f>
        <v>52</v>
      </c>
      <c r="B8" s="47">
        <f>A8*24</f>
        <v>1248</v>
      </c>
      <c r="C8" s="26"/>
      <c r="D8" s="26"/>
      <c r="E8" s="26"/>
      <c r="F8" s="27"/>
      <c r="I8" s="16"/>
      <c r="J8" s="16"/>
    </row>
    <row r="9" spans="1:10" s="28" customFormat="1" ht="15" customHeight="1" x14ac:dyDescent="0.25">
      <c r="A9" s="29">
        <f>DAYS360($A$5,F9)</f>
        <v>81</v>
      </c>
      <c r="B9" s="29">
        <f>A9*24</f>
        <v>1944</v>
      </c>
      <c r="C9" s="26">
        <f>1-EXP(-A9*$E$9)</f>
        <v>0.19901880429989705</v>
      </c>
      <c r="D9" s="26">
        <f>EXP(-A9*$E$9)</f>
        <v>0.80098119570010295</v>
      </c>
      <c r="E9" s="26">
        <f>'2012 - MTBF, MTTF, Exponencial'!AD59</f>
        <v>2.7397260273972603E-3</v>
      </c>
      <c r="F9" s="27">
        <v>40989</v>
      </c>
      <c r="G9" s="28" t="s">
        <v>406</v>
      </c>
      <c r="H9" s="28" t="s">
        <v>359</v>
      </c>
      <c r="I9" s="16">
        <f t="shared" ref="I9:I69" si="0">J9/60</f>
        <v>1</v>
      </c>
      <c r="J9" s="16">
        <v>60</v>
      </c>
    </row>
    <row r="10" spans="1:10" s="28" customFormat="1" ht="15" customHeight="1" x14ac:dyDescent="0.25">
      <c r="A10" s="47">
        <f>360-A9</f>
        <v>279</v>
      </c>
      <c r="B10" s="47">
        <f>A10*24</f>
        <v>6696</v>
      </c>
      <c r="C10" s="26"/>
      <c r="D10" s="26"/>
      <c r="E10" s="56"/>
      <c r="F10" s="27"/>
      <c r="I10" s="16"/>
      <c r="J10" s="16"/>
    </row>
    <row r="11" spans="1:10" s="28" customFormat="1" ht="15" customHeight="1" x14ac:dyDescent="0.25">
      <c r="A11" s="29">
        <f>DAYS360($A$5,F11)</f>
        <v>18</v>
      </c>
      <c r="B11" s="29">
        <f t="shared" ref="B11:B69" si="1">A11*24</f>
        <v>432</v>
      </c>
      <c r="C11" s="26">
        <f>1-EXP(-A11*$E$11)</f>
        <v>4.8118825319566683E-2</v>
      </c>
      <c r="D11" s="26">
        <f>EXP(-A11*$E$11)</f>
        <v>0.95188117468043332</v>
      </c>
      <c r="E11" s="56">
        <f>'2012 - MTBF, MTTF, Exponencial'!AD61</f>
        <v>2.7397260273972603E-3</v>
      </c>
      <c r="F11" s="27">
        <v>40926</v>
      </c>
      <c r="G11" s="28" t="s">
        <v>409</v>
      </c>
      <c r="H11" s="28" t="s">
        <v>6</v>
      </c>
      <c r="I11" s="16">
        <f t="shared" si="0"/>
        <v>2.5</v>
      </c>
      <c r="J11" s="16">
        <v>150</v>
      </c>
    </row>
    <row r="12" spans="1:10" s="28" customFormat="1" ht="15" customHeight="1" x14ac:dyDescent="0.25">
      <c r="A12" s="47">
        <f>360-A11</f>
        <v>342</v>
      </c>
      <c r="B12" s="47">
        <f>A12*24</f>
        <v>8208</v>
      </c>
      <c r="C12" s="26"/>
      <c r="D12" s="26"/>
      <c r="E12" s="56"/>
      <c r="F12" s="27"/>
      <c r="I12" s="16"/>
      <c r="J12" s="16"/>
    </row>
    <row r="13" spans="1:10" s="28" customFormat="1" ht="15" customHeight="1" x14ac:dyDescent="0.25">
      <c r="A13" s="29">
        <f>DAYS360($A$5,F13)</f>
        <v>18</v>
      </c>
      <c r="B13" s="29">
        <f t="shared" si="1"/>
        <v>432</v>
      </c>
      <c r="C13" s="26">
        <f>1-EXP(-A13*$E$13)</f>
        <v>4.8118825319566683E-2</v>
      </c>
      <c r="D13" s="26">
        <f>EXP(-A13*$E$13)</f>
        <v>0.95188117468043332</v>
      </c>
      <c r="E13" s="56">
        <f>'2012 - MTBF, MTTF, Exponencial'!AD63</f>
        <v>2.7397260273972603E-3</v>
      </c>
      <c r="F13" s="27">
        <v>40926</v>
      </c>
      <c r="G13" s="28" t="s">
        <v>409</v>
      </c>
      <c r="H13" s="28" t="s">
        <v>359</v>
      </c>
      <c r="I13" s="16">
        <f t="shared" si="0"/>
        <v>0.5</v>
      </c>
      <c r="J13" s="16">
        <v>30</v>
      </c>
    </row>
    <row r="14" spans="1:10" s="28" customFormat="1" ht="15" customHeight="1" x14ac:dyDescent="0.25">
      <c r="A14" s="47">
        <f>360-A13</f>
        <v>342</v>
      </c>
      <c r="B14" s="47">
        <f>A14*24</f>
        <v>8208</v>
      </c>
      <c r="C14" s="26"/>
      <c r="D14" s="26"/>
      <c r="E14" s="56"/>
      <c r="F14" s="27"/>
      <c r="I14" s="16"/>
      <c r="J14" s="16"/>
    </row>
    <row r="15" spans="1:10" s="28" customFormat="1" ht="15" customHeight="1" x14ac:dyDescent="0.25">
      <c r="A15" s="29">
        <f>DAYS360($A$5,F15)</f>
        <v>81</v>
      </c>
      <c r="B15" s="29">
        <f t="shared" si="1"/>
        <v>1944</v>
      </c>
      <c r="C15" s="26">
        <f t="shared" ref="C15:C24" si="2">1-EXP(-A15*$E$15)</f>
        <v>0.89130158671893001</v>
      </c>
      <c r="D15" s="26">
        <f t="shared" ref="D15:D24" si="3">EXP(-A15*$E$15)</f>
        <v>0.10869841328106998</v>
      </c>
      <c r="E15" s="56">
        <f>'2012 - MTBF, MTTF, Exponencial'!AD24</f>
        <v>2.7397260273972601E-2</v>
      </c>
      <c r="F15" s="27">
        <v>40989</v>
      </c>
      <c r="G15" s="28" t="s">
        <v>333</v>
      </c>
      <c r="H15" s="28" t="s">
        <v>353</v>
      </c>
      <c r="I15" s="16">
        <f t="shared" si="0"/>
        <v>0.5</v>
      </c>
      <c r="J15" s="16">
        <v>30</v>
      </c>
    </row>
    <row r="16" spans="1:10" s="28" customFormat="1" ht="15" customHeight="1" x14ac:dyDescent="0.25">
      <c r="A16" s="29">
        <f>DAYS360($A$5,F16)-A15</f>
        <v>25</v>
      </c>
      <c r="B16" s="29">
        <f t="shared" si="1"/>
        <v>600</v>
      </c>
      <c r="C16" s="26">
        <f t="shared" si="2"/>
        <v>0.49587524251467219</v>
      </c>
      <c r="D16" s="26">
        <f t="shared" si="3"/>
        <v>0.50412475748532781</v>
      </c>
      <c r="E16" s="57"/>
      <c r="F16" s="27">
        <v>41015</v>
      </c>
      <c r="G16" s="28" t="s">
        <v>333</v>
      </c>
      <c r="H16" s="28" t="s">
        <v>353</v>
      </c>
      <c r="I16" s="16">
        <f t="shared" si="0"/>
        <v>5</v>
      </c>
      <c r="J16" s="16">
        <v>300</v>
      </c>
    </row>
    <row r="17" spans="1:15" s="28" customFormat="1" ht="15" customHeight="1" x14ac:dyDescent="0.25">
      <c r="A17" s="29">
        <f>DAYS360($A$5,F17)-SUM(A15:A16)</f>
        <v>2</v>
      </c>
      <c r="B17" s="29">
        <f t="shared" si="1"/>
        <v>48</v>
      </c>
      <c r="C17" s="26">
        <f t="shared" si="2"/>
        <v>5.3320348814412277E-2</v>
      </c>
      <c r="D17" s="26">
        <f t="shared" si="3"/>
        <v>0.94667965118558772</v>
      </c>
      <c r="E17" s="57"/>
      <c r="F17" s="27">
        <v>41017</v>
      </c>
      <c r="G17" s="28" t="s">
        <v>333</v>
      </c>
      <c r="H17" s="28" t="s">
        <v>353</v>
      </c>
      <c r="I17" s="16">
        <f t="shared" si="0"/>
        <v>2</v>
      </c>
      <c r="J17" s="16">
        <v>120</v>
      </c>
    </row>
    <row r="18" spans="1:15" s="28" customFormat="1" ht="15" customHeight="1" x14ac:dyDescent="0.25">
      <c r="A18" s="29">
        <f>DAYS360($A$5,F18)-SUM(A15:A17)</f>
        <v>9</v>
      </c>
      <c r="B18" s="29">
        <f t="shared" si="1"/>
        <v>216</v>
      </c>
      <c r="C18" s="26">
        <f t="shared" si="2"/>
        <v>0.21852751874471654</v>
      </c>
      <c r="D18" s="26">
        <f t="shared" si="3"/>
        <v>0.78147248125528346</v>
      </c>
      <c r="E18" s="57"/>
      <c r="F18" s="27">
        <v>41026</v>
      </c>
      <c r="G18" s="28" t="s">
        <v>333</v>
      </c>
      <c r="H18" s="28" t="s">
        <v>353</v>
      </c>
      <c r="I18" s="16">
        <f t="shared" si="0"/>
        <v>1</v>
      </c>
      <c r="J18" s="16">
        <v>60</v>
      </c>
    </row>
    <row r="19" spans="1:15" s="28" customFormat="1" ht="15" customHeight="1" x14ac:dyDescent="0.25">
      <c r="A19" s="29">
        <f>DAYS360($A$5,F19)-SUM(A15:A18)</f>
        <v>27</v>
      </c>
      <c r="B19" s="29">
        <f t="shared" si="1"/>
        <v>648</v>
      </c>
      <c r="C19" s="26">
        <f t="shared" si="2"/>
        <v>0.52275535042977084</v>
      </c>
      <c r="D19" s="26">
        <f t="shared" si="3"/>
        <v>0.47724464957022916</v>
      </c>
      <c r="E19" s="57"/>
      <c r="F19" s="27">
        <v>41053</v>
      </c>
      <c r="G19" s="28" t="s">
        <v>333</v>
      </c>
      <c r="H19" s="28" t="s">
        <v>353</v>
      </c>
      <c r="I19" s="16">
        <f t="shared" si="0"/>
        <v>1</v>
      </c>
      <c r="J19" s="16">
        <v>60</v>
      </c>
    </row>
    <row r="20" spans="1:15" s="28" customFormat="1" ht="15" customHeight="1" x14ac:dyDescent="0.25">
      <c r="A20" s="29">
        <f>DAYS360($A$5,F20)-SUM(A15:A19)</f>
        <v>15</v>
      </c>
      <c r="B20" s="29">
        <f t="shared" si="1"/>
        <v>360</v>
      </c>
      <c r="C20" s="26">
        <f t="shared" si="2"/>
        <v>0.3369858218011299</v>
      </c>
      <c r="D20" s="26">
        <f t="shared" si="3"/>
        <v>0.6630141781988701</v>
      </c>
      <c r="E20" s="57"/>
      <c r="F20" s="27">
        <v>41069</v>
      </c>
      <c r="G20" s="28" t="s">
        <v>333</v>
      </c>
      <c r="H20" s="28" t="s">
        <v>353</v>
      </c>
      <c r="I20" s="16">
        <f t="shared" si="0"/>
        <v>1</v>
      </c>
      <c r="J20" s="16">
        <v>60</v>
      </c>
    </row>
    <row r="21" spans="1:15" s="28" customFormat="1" ht="15" customHeight="1" x14ac:dyDescent="0.25">
      <c r="A21" s="29">
        <f>DAYS360($A$5,F21)-SUM(A15:A20)</f>
        <v>4</v>
      </c>
      <c r="B21" s="29">
        <f t="shared" si="1"/>
        <v>96</v>
      </c>
      <c r="C21" s="26">
        <f t="shared" si="2"/>
        <v>0.10379763803113384</v>
      </c>
      <c r="D21" s="26">
        <f t="shared" si="3"/>
        <v>0.89620236196886616</v>
      </c>
      <c r="E21" s="57"/>
      <c r="F21" s="27">
        <v>41073</v>
      </c>
      <c r="G21" s="28" t="s">
        <v>333</v>
      </c>
      <c r="H21" s="28" t="s">
        <v>353</v>
      </c>
      <c r="I21" s="16">
        <f t="shared" si="0"/>
        <v>4</v>
      </c>
      <c r="J21" s="16">
        <v>240</v>
      </c>
    </row>
    <row r="22" spans="1:15" s="28" customFormat="1" ht="15" customHeight="1" x14ac:dyDescent="0.25">
      <c r="A22" s="29">
        <f>DAYS360($A$5,F22)-SUM(A15:A21)</f>
        <v>10</v>
      </c>
      <c r="B22" s="29">
        <f t="shared" si="1"/>
        <v>240</v>
      </c>
      <c r="C22" s="26">
        <f t="shared" si="2"/>
        <v>0.23964709343799839</v>
      </c>
      <c r="D22" s="26">
        <f t="shared" si="3"/>
        <v>0.76035290656200161</v>
      </c>
      <c r="E22" s="57"/>
      <c r="F22" s="27">
        <v>41083</v>
      </c>
      <c r="G22" s="28" t="s">
        <v>333</v>
      </c>
      <c r="H22" s="28" t="s">
        <v>353</v>
      </c>
      <c r="I22" s="16">
        <f t="shared" si="0"/>
        <v>1</v>
      </c>
      <c r="J22" s="16">
        <v>60</v>
      </c>
    </row>
    <row r="23" spans="1:15" s="28" customFormat="1" ht="15" customHeight="1" x14ac:dyDescent="0.25">
      <c r="A23" s="29">
        <f>DAYS360($A$5,F23)-SUM(A15:A22)</f>
        <v>108</v>
      </c>
      <c r="B23" s="29">
        <f t="shared" si="1"/>
        <v>2592</v>
      </c>
      <c r="C23" s="26">
        <f t="shared" si="2"/>
        <v>0.94812426384483584</v>
      </c>
      <c r="D23" s="26">
        <f t="shared" si="3"/>
        <v>5.1875736155164193E-2</v>
      </c>
      <c r="E23" s="57"/>
      <c r="F23" s="27">
        <v>41193</v>
      </c>
      <c r="G23" s="28" t="s">
        <v>333</v>
      </c>
      <c r="H23" s="28" t="s">
        <v>353</v>
      </c>
      <c r="I23" s="16">
        <f t="shared" si="0"/>
        <v>2</v>
      </c>
      <c r="J23" s="16">
        <v>120</v>
      </c>
    </row>
    <row r="24" spans="1:15" s="28" customFormat="1" ht="15" customHeight="1" x14ac:dyDescent="0.25">
      <c r="A24" s="29">
        <f>DAYS360($A$5,F24)-SUM(A15:A23)</f>
        <v>22</v>
      </c>
      <c r="B24" s="29">
        <f t="shared" si="1"/>
        <v>528</v>
      </c>
      <c r="C24" s="26">
        <f t="shared" si="2"/>
        <v>0.45268989959209582</v>
      </c>
      <c r="D24" s="26">
        <f t="shared" si="3"/>
        <v>0.54731010040790418</v>
      </c>
      <c r="E24" s="57"/>
      <c r="F24" s="27">
        <v>41216</v>
      </c>
      <c r="G24" s="28" t="s">
        <v>333</v>
      </c>
      <c r="H24" s="28" t="s">
        <v>353</v>
      </c>
      <c r="I24" s="16">
        <f t="shared" si="0"/>
        <v>0.5</v>
      </c>
      <c r="J24" s="16">
        <v>30</v>
      </c>
    </row>
    <row r="25" spans="1:15" s="28" customFormat="1" ht="15" customHeight="1" x14ac:dyDescent="0.25">
      <c r="A25" s="47">
        <f>360-SUM(A15:A24)</f>
        <v>57</v>
      </c>
      <c r="B25" s="47">
        <f>A25*24</f>
        <v>1368</v>
      </c>
      <c r="C25" s="26"/>
      <c r="D25" s="26"/>
      <c r="E25" s="56"/>
      <c r="F25" s="27"/>
      <c r="I25" s="16"/>
      <c r="J25" s="16"/>
      <c r="O25" s="29"/>
    </row>
    <row r="26" spans="1:15" s="28" customFormat="1" ht="15" customHeight="1" x14ac:dyDescent="0.25">
      <c r="A26" s="29">
        <f>DAYS360($A$5,F26)</f>
        <v>68</v>
      </c>
      <c r="B26" s="29">
        <f t="shared" si="1"/>
        <v>1632</v>
      </c>
      <c r="C26" s="26">
        <f>1-EXP(-A26*$E$26)</f>
        <v>0.42816461048599852</v>
      </c>
      <c r="D26" s="26">
        <f>EXP(-A26*$E$26)</f>
        <v>0.57183538951400148</v>
      </c>
      <c r="E26" s="56">
        <f>'2012 - MTBF, MTTF, Exponencial'!AD28</f>
        <v>8.21917808219178E-3</v>
      </c>
      <c r="F26" s="27">
        <v>40976</v>
      </c>
      <c r="G26" s="28" t="s">
        <v>333</v>
      </c>
      <c r="H26" s="28" t="s">
        <v>6</v>
      </c>
      <c r="I26" s="16">
        <f t="shared" si="0"/>
        <v>4</v>
      </c>
      <c r="J26" s="16">
        <v>240</v>
      </c>
    </row>
    <row r="27" spans="1:15" s="28" customFormat="1" ht="15" customHeight="1" x14ac:dyDescent="0.25">
      <c r="A27" s="29">
        <f>DAYS360($A$5,F27)-A26</f>
        <v>4</v>
      </c>
      <c r="B27" s="29">
        <f t="shared" si="1"/>
        <v>96</v>
      </c>
      <c r="C27" s="26">
        <f>1-EXP(-A27*$E$26)</f>
        <v>3.2342147481605577E-2</v>
      </c>
      <c r="D27" s="26">
        <f>EXP(-A27*$E$26)</f>
        <v>0.96765785251839442</v>
      </c>
      <c r="E27" s="57"/>
      <c r="F27" s="27">
        <v>40980</v>
      </c>
      <c r="G27" s="28" t="s">
        <v>333</v>
      </c>
      <c r="H27" s="28" t="s">
        <v>6</v>
      </c>
      <c r="I27" s="16">
        <f t="shared" si="0"/>
        <v>0.5</v>
      </c>
      <c r="J27" s="16">
        <v>30</v>
      </c>
    </row>
    <row r="28" spans="1:15" s="28" customFormat="1" ht="15" customHeight="1" x14ac:dyDescent="0.25">
      <c r="A28" s="29">
        <f>DAYS360($A$5,F28)-A27-A26</f>
        <v>27</v>
      </c>
      <c r="B28" s="29">
        <f t="shared" si="1"/>
        <v>648</v>
      </c>
      <c r="C28" s="26">
        <f>1-EXP(-A28*$E$26)</f>
        <v>0.19901880429989693</v>
      </c>
      <c r="D28" s="26">
        <f>EXP(-A28*$E$26)</f>
        <v>0.80098119570010307</v>
      </c>
      <c r="E28" s="57"/>
      <c r="F28" s="27">
        <v>41008</v>
      </c>
      <c r="G28" s="28" t="s">
        <v>333</v>
      </c>
      <c r="H28" s="28" t="s">
        <v>6</v>
      </c>
      <c r="I28" s="16">
        <f t="shared" si="0"/>
        <v>1</v>
      </c>
      <c r="J28" s="16">
        <v>60</v>
      </c>
    </row>
    <row r="29" spans="1:15" s="28" customFormat="1" ht="15" customHeight="1" x14ac:dyDescent="0.25">
      <c r="A29" s="47">
        <f>360-SUM(A26:A28)</f>
        <v>261</v>
      </c>
      <c r="B29" s="47">
        <f>A29*24</f>
        <v>6264</v>
      </c>
      <c r="C29" s="26"/>
      <c r="D29" s="26"/>
      <c r="E29" s="56"/>
      <c r="F29" s="27"/>
      <c r="I29" s="16"/>
      <c r="J29" s="16"/>
    </row>
    <row r="30" spans="1:15" s="28" customFormat="1" ht="15" customHeight="1" x14ac:dyDescent="0.25">
      <c r="A30" s="29">
        <f>DAYS360($A$5,F30)</f>
        <v>171</v>
      </c>
      <c r="B30" s="29">
        <f t="shared" si="1"/>
        <v>4104</v>
      </c>
      <c r="C30" s="26">
        <f>1-EXP(-A30*$E$30)</f>
        <v>0.75475055708918859</v>
      </c>
      <c r="D30" s="26">
        <f>EXP(-A30*$E$30)</f>
        <v>0.24524944291081138</v>
      </c>
      <c r="E30" s="56">
        <f>'2012 - MTBF, MTTF, Exponencial'!AD32</f>
        <v>8.21917808219178E-3</v>
      </c>
      <c r="F30" s="27">
        <v>41081</v>
      </c>
      <c r="G30" s="28" t="s">
        <v>333</v>
      </c>
      <c r="H30" s="28" t="s">
        <v>359</v>
      </c>
      <c r="I30" s="16">
        <f t="shared" si="0"/>
        <v>1</v>
      </c>
      <c r="J30" s="16">
        <v>60</v>
      </c>
    </row>
    <row r="31" spans="1:15" s="28" customFormat="1" ht="15" customHeight="1" x14ac:dyDescent="0.25">
      <c r="A31" s="29">
        <f>DAYS360($A$5,F31)-A30</f>
        <v>108</v>
      </c>
      <c r="B31" s="29">
        <f t="shared" si="1"/>
        <v>2592</v>
      </c>
      <c r="C31" s="26">
        <f>1-EXP(-A31*$E$30)</f>
        <v>0.58838681124160286</v>
      </c>
      <c r="D31" s="26">
        <f>EXP(-A31*$E$30)</f>
        <v>0.4116131887583972</v>
      </c>
      <c r="E31" s="57"/>
      <c r="F31" s="27">
        <v>41191</v>
      </c>
      <c r="G31" s="28" t="s">
        <v>333</v>
      </c>
      <c r="H31" s="28" t="s">
        <v>359</v>
      </c>
      <c r="I31" s="16">
        <f t="shared" si="0"/>
        <v>2</v>
      </c>
      <c r="J31" s="16">
        <v>120</v>
      </c>
    </row>
    <row r="32" spans="1:15" s="28" customFormat="1" ht="15" customHeight="1" x14ac:dyDescent="0.25">
      <c r="A32" s="29">
        <f>DAYS360($A$5,F32)-A31-A30</f>
        <v>14</v>
      </c>
      <c r="B32" s="29">
        <f t="shared" si="1"/>
        <v>336</v>
      </c>
      <c r="C32" s="26">
        <f>1-EXP(-A32*$E$30)</f>
        <v>0.10869490647798818</v>
      </c>
      <c r="D32" s="26">
        <f>EXP(-A32*$E$30)</f>
        <v>0.89130509352201182</v>
      </c>
      <c r="E32" s="57"/>
      <c r="F32" s="27">
        <v>41205</v>
      </c>
      <c r="G32" s="28" t="s">
        <v>333</v>
      </c>
      <c r="H32" s="28" t="s">
        <v>359</v>
      </c>
      <c r="I32" s="16">
        <f t="shared" si="0"/>
        <v>2</v>
      </c>
      <c r="J32" s="16">
        <v>120</v>
      </c>
    </row>
    <row r="33" spans="1:15" s="28" customFormat="1" ht="15" customHeight="1" x14ac:dyDescent="0.25">
      <c r="A33" s="47">
        <f>360-SUM(A30:A32)</f>
        <v>67</v>
      </c>
      <c r="B33" s="47">
        <f>A33*24</f>
        <v>1608</v>
      </c>
      <c r="C33" s="26"/>
      <c r="D33" s="26"/>
      <c r="E33" s="56"/>
      <c r="F33" s="27"/>
      <c r="I33" s="16"/>
      <c r="J33" s="16"/>
    </row>
    <row r="34" spans="1:15" s="28" customFormat="1" ht="15" customHeight="1" x14ac:dyDescent="0.25">
      <c r="A34" s="29">
        <f>DAYS360($A$5,F34)</f>
        <v>22</v>
      </c>
      <c r="B34" s="29">
        <f t="shared" si="1"/>
        <v>528</v>
      </c>
      <c r="C34" s="26">
        <f>1-EXP(-A34*$E$34)</f>
        <v>0.26019590403411241</v>
      </c>
      <c r="D34" s="26">
        <f>EXP(-A34*$E$34)</f>
        <v>0.73980409596588759</v>
      </c>
      <c r="E34" s="56">
        <f>'2012 - MTBF, MTTF, Exponencial'!AD38</f>
        <v>1.3698630136986301E-2</v>
      </c>
      <c r="F34" s="27">
        <v>40930</v>
      </c>
      <c r="G34" s="28" t="s">
        <v>342</v>
      </c>
      <c r="H34" s="28" t="s">
        <v>369</v>
      </c>
      <c r="I34" s="16">
        <f t="shared" si="0"/>
        <v>2</v>
      </c>
      <c r="J34" s="16">
        <v>120</v>
      </c>
    </row>
    <row r="35" spans="1:15" s="28" customFormat="1" ht="15" customHeight="1" x14ac:dyDescent="0.25">
      <c r="A35" s="29">
        <f>DAYS360($A$5,F35)-A34</f>
        <v>6</v>
      </c>
      <c r="B35" s="29">
        <f t="shared" si="1"/>
        <v>144</v>
      </c>
      <c r="C35" s="26">
        <f>1-EXP(-A35*$E$34)</f>
        <v>7.8904706656045209E-2</v>
      </c>
      <c r="D35" s="26">
        <f>EXP(-A35*$E$34)</f>
        <v>0.92109529334395479</v>
      </c>
      <c r="E35" s="57"/>
      <c r="F35" s="27">
        <v>40936</v>
      </c>
      <c r="G35" s="28" t="s">
        <v>342</v>
      </c>
      <c r="H35" s="28" t="s">
        <v>369</v>
      </c>
      <c r="I35" s="16">
        <f t="shared" si="0"/>
        <v>1.5</v>
      </c>
      <c r="J35" s="16">
        <v>90</v>
      </c>
    </row>
    <row r="36" spans="1:15" s="28" customFormat="1" ht="15" customHeight="1" x14ac:dyDescent="0.25">
      <c r="A36" s="29">
        <f>DAYS360($A$5,F36)-A35-A34</f>
        <v>5</v>
      </c>
      <c r="B36" s="29">
        <f t="shared" si="1"/>
        <v>120</v>
      </c>
      <c r="C36" s="26">
        <f>1-EXP(-A36*$E$34)</f>
        <v>6.6200144028956465E-2</v>
      </c>
      <c r="D36" s="26">
        <f>EXP(-A36*$E$34)</f>
        <v>0.93379985597104354</v>
      </c>
      <c r="E36" s="57"/>
      <c r="F36" s="27">
        <v>40942</v>
      </c>
      <c r="G36" s="28" t="s">
        <v>342</v>
      </c>
      <c r="H36" s="28" t="s">
        <v>369</v>
      </c>
      <c r="I36" s="16">
        <f t="shared" si="0"/>
        <v>1</v>
      </c>
      <c r="J36" s="16">
        <v>60</v>
      </c>
    </row>
    <row r="37" spans="1:15" s="28" customFormat="1" ht="15" customHeight="1" x14ac:dyDescent="0.25">
      <c r="A37" s="29">
        <f>DAYS360($A$5,F37)-A36-A35-A34</f>
        <v>26</v>
      </c>
      <c r="B37" s="29">
        <f t="shared" si="1"/>
        <v>624</v>
      </c>
      <c r="C37" s="26">
        <f>1-EXP(-A37*$E$34)</f>
        <v>0.29964251648534446</v>
      </c>
      <c r="D37" s="26">
        <f>EXP(-A37*$E$34)</f>
        <v>0.70035748351465554</v>
      </c>
      <c r="E37" s="55"/>
      <c r="F37" s="27">
        <v>40968</v>
      </c>
      <c r="G37" s="28" t="s">
        <v>342</v>
      </c>
      <c r="H37" s="28" t="s">
        <v>369</v>
      </c>
      <c r="I37" s="16">
        <f t="shared" si="0"/>
        <v>4</v>
      </c>
      <c r="J37" s="16">
        <v>240</v>
      </c>
    </row>
    <row r="38" spans="1:15" s="28" customFormat="1" ht="15" customHeight="1" x14ac:dyDescent="0.25">
      <c r="A38" s="29">
        <f>DAYS360($A$5,F38)-A37-A36-A35-A34</f>
        <v>203</v>
      </c>
      <c r="B38" s="29">
        <f t="shared" si="1"/>
        <v>4872</v>
      </c>
      <c r="C38" s="26">
        <f>1-EXP(-A38*$E$34)</f>
        <v>0.93801246222736823</v>
      </c>
      <c r="D38" s="26">
        <f>EXP(-A38*$E$34)</f>
        <v>6.1987537772631794E-2</v>
      </c>
      <c r="E38" s="58"/>
      <c r="F38" s="27">
        <v>41174</v>
      </c>
      <c r="G38" s="28" t="s">
        <v>342</v>
      </c>
      <c r="H38" s="28" t="s">
        <v>369</v>
      </c>
      <c r="I38" s="16">
        <f t="shared" si="0"/>
        <v>144</v>
      </c>
      <c r="J38" s="16">
        <f>6*24*60</f>
        <v>8640</v>
      </c>
    </row>
    <row r="39" spans="1:15" s="28" customFormat="1" ht="15" customHeight="1" x14ac:dyDescent="0.25">
      <c r="A39" s="47">
        <f>360-SUM(A34:A38)</f>
        <v>98</v>
      </c>
      <c r="B39" s="47">
        <f>A39*24</f>
        <v>2352</v>
      </c>
      <c r="C39" s="26"/>
      <c r="D39" s="26"/>
      <c r="E39" s="16"/>
      <c r="F39" s="27"/>
      <c r="I39" s="16"/>
      <c r="J39" s="16"/>
    </row>
    <row r="40" spans="1:15" s="28" customFormat="1" ht="15" customHeight="1" x14ac:dyDescent="0.25">
      <c r="A40" s="29">
        <f>DAYS360($A$5,F40)</f>
        <v>8</v>
      </c>
      <c r="B40" s="29">
        <f t="shared" si="1"/>
        <v>192</v>
      </c>
      <c r="C40" s="26">
        <f>1-EXP(-A40*$E$40)</f>
        <v>6.3638280459489271E-2</v>
      </c>
      <c r="D40" s="26">
        <f>EXP(-A40*$E$40)</f>
        <v>0.93636171954051073</v>
      </c>
      <c r="E40" s="16">
        <f>'2012 - MTBF, MTTF, Exponencial'!AD42</f>
        <v>8.21917808219178E-3</v>
      </c>
      <c r="F40" s="27">
        <v>40916</v>
      </c>
      <c r="G40" s="28" t="s">
        <v>342</v>
      </c>
      <c r="H40" s="28" t="s">
        <v>353</v>
      </c>
      <c r="I40" s="16">
        <f t="shared" si="0"/>
        <v>2</v>
      </c>
      <c r="J40" s="16">
        <v>120</v>
      </c>
    </row>
    <row r="41" spans="1:15" s="28" customFormat="1" ht="15" customHeight="1" x14ac:dyDescent="0.25">
      <c r="A41" s="29">
        <f>DAYS360($A$5,F41)-A40</f>
        <v>28</v>
      </c>
      <c r="B41" s="29">
        <f t="shared" si="1"/>
        <v>672</v>
      </c>
      <c r="C41" s="26">
        <f>1-EXP(-A41*$E$40)</f>
        <v>0.20557523026171776</v>
      </c>
      <c r="D41" s="26">
        <f>EXP(-A41*$E$40)</f>
        <v>0.79442476973828224</v>
      </c>
      <c r="E41" s="58"/>
      <c r="F41" s="27">
        <v>40945</v>
      </c>
      <c r="G41" s="28" t="s">
        <v>342</v>
      </c>
      <c r="H41" s="28" t="s">
        <v>353</v>
      </c>
      <c r="I41" s="16">
        <f t="shared" si="0"/>
        <v>2.5</v>
      </c>
      <c r="J41" s="16">
        <v>150</v>
      </c>
      <c r="O41" s="29"/>
    </row>
    <row r="42" spans="1:15" s="28" customFormat="1" ht="15" customHeight="1" x14ac:dyDescent="0.25">
      <c r="A42" s="29">
        <f>DAYS360($A$5,F42)-A41-A40</f>
        <v>39</v>
      </c>
      <c r="B42" s="29">
        <f t="shared" si="1"/>
        <v>936</v>
      </c>
      <c r="C42" s="26">
        <f>1-EXP(-A42*$E$40)</f>
        <v>0.27424874381861808</v>
      </c>
      <c r="D42" s="26">
        <f>EXP(-A42*$E$40)</f>
        <v>0.72575125618138192</v>
      </c>
      <c r="E42" s="58"/>
      <c r="F42" s="27">
        <v>40983</v>
      </c>
      <c r="G42" s="28" t="s">
        <v>342</v>
      </c>
      <c r="H42" s="28" t="s">
        <v>353</v>
      </c>
      <c r="I42" s="16">
        <f t="shared" si="0"/>
        <v>0.5</v>
      </c>
      <c r="J42" s="16">
        <v>30</v>
      </c>
    </row>
    <row r="43" spans="1:15" s="28" customFormat="1" ht="15" customHeight="1" x14ac:dyDescent="0.25">
      <c r="A43" s="47">
        <f>360-SUM(A40:A42)</f>
        <v>285</v>
      </c>
      <c r="B43" s="47">
        <f>A43*24</f>
        <v>6840</v>
      </c>
      <c r="C43" s="16"/>
      <c r="D43" s="16"/>
      <c r="E43" s="16"/>
      <c r="F43" s="27"/>
      <c r="I43" s="16"/>
      <c r="J43" s="16"/>
    </row>
    <row r="44" spans="1:15" s="28" customFormat="1" ht="15" customHeight="1" x14ac:dyDescent="0.25">
      <c r="A44" s="29">
        <f>DAYS360($A$5,F44)</f>
        <v>12</v>
      </c>
      <c r="B44" s="29">
        <f t="shared" si="1"/>
        <v>288</v>
      </c>
      <c r="C44" s="26">
        <f>1-EXP(-A44*$E$44)</f>
        <v>0.12322673017913799</v>
      </c>
      <c r="D44" s="26">
        <f>EXP(-A44*$E$44)</f>
        <v>0.87677326982086201</v>
      </c>
      <c r="E44" s="16">
        <f>'2012 - MTBF, MTTF, Exponencial'!AD47</f>
        <v>1.0958904109589041E-2</v>
      </c>
      <c r="F44" s="27">
        <v>40920</v>
      </c>
      <c r="G44" s="28" t="s">
        <v>342</v>
      </c>
      <c r="H44" s="28" t="s">
        <v>6</v>
      </c>
      <c r="I44" s="16">
        <f t="shared" si="0"/>
        <v>1</v>
      </c>
      <c r="J44" s="16">
        <v>60</v>
      </c>
    </row>
    <row r="45" spans="1:15" s="28" customFormat="1" ht="15" customHeight="1" x14ac:dyDescent="0.25">
      <c r="A45" s="29">
        <f>DAYS360($A$5,F45)-A44</f>
        <v>126</v>
      </c>
      <c r="B45" s="29">
        <f t="shared" si="1"/>
        <v>3024</v>
      </c>
      <c r="C45" s="26">
        <f>1-EXP(-A45*$E$44)</f>
        <v>0.74862813887964053</v>
      </c>
      <c r="D45" s="26">
        <f>EXP(-A45*$E$44)</f>
        <v>0.25137186112035942</v>
      </c>
      <c r="E45" s="58"/>
      <c r="F45" s="27">
        <v>41047</v>
      </c>
      <c r="G45" s="28" t="s">
        <v>342</v>
      </c>
      <c r="H45" s="28" t="s">
        <v>6</v>
      </c>
      <c r="I45" s="16">
        <f t="shared" si="0"/>
        <v>0.5</v>
      </c>
      <c r="J45" s="16">
        <v>30</v>
      </c>
    </row>
    <row r="46" spans="1:15" s="28" customFormat="1" ht="15" customHeight="1" x14ac:dyDescent="0.25">
      <c r="A46" s="29">
        <f>DAYS360($A$5,F46)-A45-A44</f>
        <v>51</v>
      </c>
      <c r="B46" s="29">
        <f t="shared" si="1"/>
        <v>1224</v>
      </c>
      <c r="C46" s="26">
        <f>1-EXP(-A46*$E$44)</f>
        <v>0.42816461048599863</v>
      </c>
      <c r="D46" s="26">
        <f>EXP(-A46*$E$44)</f>
        <v>0.57183538951400137</v>
      </c>
      <c r="E46" s="58"/>
      <c r="F46" s="27">
        <v>41099</v>
      </c>
      <c r="G46" s="28" t="s">
        <v>342</v>
      </c>
      <c r="H46" s="28" t="s">
        <v>6</v>
      </c>
      <c r="I46" s="16">
        <f t="shared" si="0"/>
        <v>1</v>
      </c>
      <c r="J46" s="16">
        <v>60</v>
      </c>
    </row>
    <row r="47" spans="1:15" s="28" customFormat="1" ht="15" customHeight="1" x14ac:dyDescent="0.25">
      <c r="A47" s="29">
        <f>DAYS360($A$5,F47)-A46-A45-A44</f>
        <v>84</v>
      </c>
      <c r="B47" s="29">
        <f t="shared" si="1"/>
        <v>2016</v>
      </c>
      <c r="C47" s="26">
        <f>1-EXP(-A47*$E$44)</f>
        <v>0.60169926569780086</v>
      </c>
      <c r="D47" s="26">
        <f>EXP(-A47*$E$44)</f>
        <v>0.39830073430219909</v>
      </c>
      <c r="E47" s="58"/>
      <c r="F47" s="27">
        <v>41185</v>
      </c>
      <c r="G47" s="28" t="s">
        <v>342</v>
      </c>
      <c r="H47" s="28" t="s">
        <v>6</v>
      </c>
      <c r="I47" s="16">
        <f t="shared" si="0"/>
        <v>2</v>
      </c>
      <c r="J47" s="16">
        <v>120</v>
      </c>
    </row>
    <row r="48" spans="1:15" s="28" customFormat="1" ht="15" customHeight="1" x14ac:dyDescent="0.25">
      <c r="A48" s="47">
        <f>360-SUM(A44:A47)</f>
        <v>87</v>
      </c>
      <c r="B48" s="47">
        <f>A48*24</f>
        <v>2088</v>
      </c>
      <c r="C48" s="26"/>
      <c r="D48" s="26"/>
      <c r="E48" s="16"/>
      <c r="F48" s="27"/>
      <c r="I48" s="16"/>
      <c r="J48" s="16"/>
    </row>
    <row r="49" spans="1:15" s="28" customFormat="1" ht="15" customHeight="1" x14ac:dyDescent="0.25">
      <c r="A49" s="29">
        <f>DAYS360($A$5,F49)</f>
        <v>10</v>
      </c>
      <c r="B49" s="29">
        <f t="shared" si="1"/>
        <v>240</v>
      </c>
      <c r="C49" s="26">
        <f t="shared" ref="C49:C55" si="4">1-EXP(-A49*$E$49)</f>
        <v>0.17451222250674214</v>
      </c>
      <c r="D49" s="26">
        <f t="shared" ref="D49:D55" si="5">EXP(-A49*$E$49)</f>
        <v>0.82548777749325786</v>
      </c>
      <c r="E49" s="16">
        <f>'2012 - MTBF, MTTF, Exponencial'!AD55</f>
        <v>1.9178082191780823E-2</v>
      </c>
      <c r="F49" s="27">
        <v>40918</v>
      </c>
      <c r="G49" s="28" t="s">
        <v>342</v>
      </c>
      <c r="H49" s="28" t="s">
        <v>368</v>
      </c>
      <c r="I49" s="16">
        <f t="shared" si="0"/>
        <v>1</v>
      </c>
      <c r="J49" s="16">
        <v>60</v>
      </c>
    </row>
    <row r="50" spans="1:15" s="28" customFormat="1" ht="15" customHeight="1" x14ac:dyDescent="0.25">
      <c r="A50" s="29">
        <f>DAYS360($A$5,F50)-A49</f>
        <v>1</v>
      </c>
      <c r="B50" s="29">
        <f t="shared" si="1"/>
        <v>24</v>
      </c>
      <c r="C50" s="26">
        <f t="shared" si="4"/>
        <v>1.8995352771274288E-2</v>
      </c>
      <c r="D50" s="26">
        <f t="shared" si="5"/>
        <v>0.98100464722872571</v>
      </c>
      <c r="E50" s="58"/>
      <c r="F50" s="27">
        <v>40919</v>
      </c>
      <c r="G50" s="28" t="s">
        <v>342</v>
      </c>
      <c r="H50" s="28" t="s">
        <v>368</v>
      </c>
      <c r="I50" s="16">
        <f t="shared" si="0"/>
        <v>2.5</v>
      </c>
      <c r="J50" s="16">
        <v>150</v>
      </c>
    </row>
    <row r="51" spans="1:15" s="28" customFormat="1" ht="15" customHeight="1" x14ac:dyDescent="0.25">
      <c r="A51" s="29">
        <f>DAYS360($A$5,F51)-SUM(A49:A50)</f>
        <v>52</v>
      </c>
      <c r="B51" s="29">
        <f t="shared" si="1"/>
        <v>1248</v>
      </c>
      <c r="C51" s="26">
        <f t="shared" si="4"/>
        <v>0.63111128801718774</v>
      </c>
      <c r="D51" s="26">
        <f t="shared" si="5"/>
        <v>0.36888871198281226</v>
      </c>
      <c r="E51" s="58"/>
      <c r="F51" s="27">
        <v>40971</v>
      </c>
      <c r="G51" s="28" t="s">
        <v>342</v>
      </c>
      <c r="H51" s="28" t="s">
        <v>368</v>
      </c>
      <c r="I51" s="16">
        <f t="shared" si="0"/>
        <v>2</v>
      </c>
      <c r="J51" s="16">
        <v>120</v>
      </c>
      <c r="O51" s="29"/>
    </row>
    <row r="52" spans="1:15" s="28" customFormat="1" ht="15" customHeight="1" x14ac:dyDescent="0.25">
      <c r="A52" s="29">
        <f>DAYS360($A$5,F52)-SUM(A49:A51)</f>
        <v>1</v>
      </c>
      <c r="B52" s="29">
        <f t="shared" si="1"/>
        <v>24</v>
      </c>
      <c r="C52" s="26">
        <f t="shared" si="4"/>
        <v>1.8995352771274288E-2</v>
      </c>
      <c r="D52" s="26">
        <f t="shared" si="5"/>
        <v>0.98100464722872571</v>
      </c>
      <c r="E52" s="58"/>
      <c r="F52" s="27">
        <v>40972</v>
      </c>
      <c r="G52" s="28" t="s">
        <v>342</v>
      </c>
      <c r="H52" s="28" t="s">
        <v>368</v>
      </c>
      <c r="I52" s="16">
        <f t="shared" si="0"/>
        <v>1.5</v>
      </c>
      <c r="J52" s="16">
        <v>90</v>
      </c>
    </row>
    <row r="53" spans="1:15" s="28" customFormat="1" ht="15" customHeight="1" x14ac:dyDescent="0.25">
      <c r="A53" s="29">
        <f>DAYS360($A$5,F53)-SUM(A49:A52)</f>
        <v>49</v>
      </c>
      <c r="B53" s="29">
        <f t="shared" si="1"/>
        <v>1176</v>
      </c>
      <c r="C53" s="26">
        <f t="shared" si="4"/>
        <v>0.60926512865492877</v>
      </c>
      <c r="D53" s="26">
        <f t="shared" si="5"/>
        <v>0.39073487134507123</v>
      </c>
      <c r="E53" s="58"/>
      <c r="F53" s="27">
        <v>41022</v>
      </c>
      <c r="G53" s="28" t="s">
        <v>342</v>
      </c>
      <c r="H53" s="28" t="s">
        <v>368</v>
      </c>
      <c r="I53" s="16">
        <f t="shared" si="0"/>
        <v>2.5</v>
      </c>
      <c r="J53" s="16">
        <v>150</v>
      </c>
    </row>
    <row r="54" spans="1:15" s="28" customFormat="1" ht="15" customHeight="1" x14ac:dyDescent="0.25">
      <c r="A54" s="29">
        <f>DAYS360($A$5,F54)-SUM(A49:A53)</f>
        <v>47</v>
      </c>
      <c r="B54" s="29">
        <f t="shared" si="1"/>
        <v>1128</v>
      </c>
      <c r="C54" s="26">
        <f t="shared" si="4"/>
        <v>0.59398690370389917</v>
      </c>
      <c r="D54" s="26">
        <f t="shared" si="5"/>
        <v>0.40601309629610083</v>
      </c>
      <c r="E54" s="58"/>
      <c r="F54" s="27">
        <v>41070</v>
      </c>
      <c r="G54" s="28" t="s">
        <v>342</v>
      </c>
      <c r="H54" s="28" t="s">
        <v>368</v>
      </c>
      <c r="I54" s="16">
        <f t="shared" si="0"/>
        <v>1.5</v>
      </c>
      <c r="J54" s="16">
        <v>90</v>
      </c>
    </row>
    <row r="55" spans="1:15" s="28" customFormat="1" ht="15" customHeight="1" x14ac:dyDescent="0.25">
      <c r="A55" s="29">
        <f>DAYS360($A$5,F55)-SUM(A49:A54)</f>
        <v>97</v>
      </c>
      <c r="B55" s="29">
        <f t="shared" si="1"/>
        <v>2328</v>
      </c>
      <c r="C55" s="26">
        <f t="shared" si="4"/>
        <v>0.84437001382578281</v>
      </c>
      <c r="D55" s="26">
        <f t="shared" si="5"/>
        <v>0.15562998617421717</v>
      </c>
      <c r="E55" s="58"/>
      <c r="F55" s="27">
        <v>41169</v>
      </c>
      <c r="G55" s="28" t="s">
        <v>342</v>
      </c>
      <c r="H55" s="28" t="s">
        <v>368</v>
      </c>
      <c r="I55" s="16">
        <f t="shared" si="0"/>
        <v>72</v>
      </c>
      <c r="J55" s="16">
        <f>3*24*60</f>
        <v>4320</v>
      </c>
    </row>
    <row r="56" spans="1:15" s="28" customFormat="1" ht="15" customHeight="1" x14ac:dyDescent="0.25">
      <c r="A56" s="47">
        <f>360-SUM(A49:A55)</f>
        <v>103</v>
      </c>
      <c r="B56" s="47">
        <f>A56*24</f>
        <v>2472</v>
      </c>
      <c r="C56" s="26"/>
      <c r="D56" s="26"/>
      <c r="E56" s="16"/>
      <c r="F56" s="27"/>
      <c r="I56" s="16"/>
      <c r="J56" s="16"/>
    </row>
    <row r="57" spans="1:15" s="28" customFormat="1" ht="15" customHeight="1" x14ac:dyDescent="0.25">
      <c r="A57" s="29">
        <f>DAYS360($A$5,F57)</f>
        <v>27</v>
      </c>
      <c r="B57" s="29">
        <f t="shared" si="1"/>
        <v>648</v>
      </c>
      <c r="C57" s="26">
        <f>1-EXP(-A57*$E$57)</f>
        <v>7.1302862750069362E-2</v>
      </c>
      <c r="D57" s="26">
        <f>EXP(-A57*$E$57)</f>
        <v>0.92869713724993064</v>
      </c>
      <c r="E57" s="16">
        <f>'2012 - MTBF, MTTF, Exponencial'!AD65</f>
        <v>2.7397260273972603E-3</v>
      </c>
      <c r="F57" s="27">
        <v>40935</v>
      </c>
      <c r="G57" s="28" t="s">
        <v>385</v>
      </c>
      <c r="H57" s="28" t="s">
        <v>394</v>
      </c>
      <c r="I57" s="16">
        <f t="shared" si="0"/>
        <v>1</v>
      </c>
      <c r="J57" s="16">
        <v>60</v>
      </c>
    </row>
    <row r="58" spans="1:15" s="28" customFormat="1" ht="15" customHeight="1" x14ac:dyDescent="0.25">
      <c r="A58" s="47">
        <f>360-A57</f>
        <v>333</v>
      </c>
      <c r="B58" s="47">
        <f>A58*24</f>
        <v>7992</v>
      </c>
      <c r="C58" s="16"/>
      <c r="D58" s="16"/>
      <c r="E58" s="16"/>
      <c r="F58" s="27"/>
      <c r="I58" s="16"/>
      <c r="J58" s="16"/>
    </row>
    <row r="59" spans="1:15" s="28" customFormat="1" ht="15" customHeight="1" x14ac:dyDescent="0.25">
      <c r="A59" s="29">
        <f>DAYS360($A$5,F59)</f>
        <v>17</v>
      </c>
      <c r="B59" s="29">
        <f t="shared" si="1"/>
        <v>408</v>
      </c>
      <c r="C59" s="26">
        <f>1-EXP(-A59*$E$59)</f>
        <v>8.8943792489804219E-2</v>
      </c>
      <c r="D59" s="26">
        <f>EXP(-A59*$E$59)</f>
        <v>0.91105620751019578</v>
      </c>
      <c r="E59" s="16">
        <f>'2012 - MTBF, MTTF, Exponencial'!AD68</f>
        <v>5.4794520547945206E-3</v>
      </c>
      <c r="F59" s="27">
        <v>40925</v>
      </c>
      <c r="G59" s="28" t="s">
        <v>385</v>
      </c>
      <c r="H59" s="28" t="s">
        <v>397</v>
      </c>
      <c r="I59" s="16">
        <f t="shared" si="0"/>
        <v>2</v>
      </c>
      <c r="J59" s="16">
        <v>120</v>
      </c>
      <c r="O59" s="29"/>
    </row>
    <row r="60" spans="1:15" s="28" customFormat="1" ht="15" customHeight="1" x14ac:dyDescent="0.25">
      <c r="A60" s="29">
        <f>DAYS360($A$5,F60)-A59</f>
        <v>101</v>
      </c>
      <c r="B60" s="29">
        <f t="shared" si="1"/>
        <v>2424</v>
      </c>
      <c r="C60" s="26">
        <f>1-EXP(-A60*$E$59)</f>
        <v>0.42502266567920344</v>
      </c>
      <c r="D60" s="26">
        <f>EXP(-A60*$E$59)</f>
        <v>0.57497733432079656</v>
      </c>
      <c r="E60" s="58"/>
      <c r="F60" s="27">
        <v>41027</v>
      </c>
      <c r="G60" s="28" t="s">
        <v>385</v>
      </c>
      <c r="H60" s="28" t="s">
        <v>397</v>
      </c>
      <c r="I60" s="16">
        <f t="shared" si="0"/>
        <v>2</v>
      </c>
      <c r="J60" s="16">
        <v>120</v>
      </c>
    </row>
    <row r="61" spans="1:15" s="28" customFormat="1" ht="15" customHeight="1" x14ac:dyDescent="0.25">
      <c r="A61" s="47">
        <f>360-SUM(A59:A60)</f>
        <v>242</v>
      </c>
      <c r="B61" s="47">
        <f>A61*24</f>
        <v>5808</v>
      </c>
      <c r="C61" s="26"/>
      <c r="D61" s="26"/>
      <c r="E61" s="16"/>
      <c r="F61" s="27"/>
      <c r="I61" s="16"/>
      <c r="J61" s="16"/>
    </row>
    <row r="62" spans="1:15" s="28" customFormat="1" ht="15" customHeight="1" x14ac:dyDescent="0.25">
      <c r="A62" s="29">
        <f>DAYS360($A$5,F62)</f>
        <v>192</v>
      </c>
      <c r="B62" s="29">
        <f t="shared" si="1"/>
        <v>4608</v>
      </c>
      <c r="C62" s="26">
        <f>1-EXP(-A62*$E$62)</f>
        <v>0.4090520858940363</v>
      </c>
      <c r="D62" s="26">
        <f>EXP(-A62*$E$62)</f>
        <v>0.5909479141059637</v>
      </c>
      <c r="E62" s="16">
        <f>'2012 - MTBF, MTTF, Exponencial'!AD6</f>
        <v>2.7397260273972603E-3</v>
      </c>
      <c r="F62" s="27">
        <v>41102</v>
      </c>
      <c r="G62" s="28" t="s">
        <v>370</v>
      </c>
      <c r="H62" s="28" t="s">
        <v>380</v>
      </c>
      <c r="I62" s="16">
        <f t="shared" si="0"/>
        <v>2</v>
      </c>
      <c r="J62" s="16">
        <v>120</v>
      </c>
    </row>
    <row r="63" spans="1:15" s="28" customFormat="1" ht="15" customHeight="1" x14ac:dyDescent="0.25">
      <c r="A63" s="47">
        <f>360-A62</f>
        <v>168</v>
      </c>
      <c r="B63" s="47">
        <f>A63*24</f>
        <v>4032</v>
      </c>
      <c r="C63" s="20"/>
      <c r="D63" s="20"/>
      <c r="E63" s="20"/>
      <c r="F63" s="27"/>
      <c r="I63" s="16"/>
      <c r="J63" s="16"/>
    </row>
    <row r="64" spans="1:15" s="28" customFormat="1" ht="15" customHeight="1" x14ac:dyDescent="0.25">
      <c r="A64" s="29">
        <f>DAYS360($A$5,F64)</f>
        <v>196</v>
      </c>
      <c r="B64" s="29">
        <f t="shared" si="1"/>
        <v>4704</v>
      </c>
      <c r="C64" s="26">
        <f>1-EXP(-A64*$E$64)</f>
        <v>0.65835141613097725</v>
      </c>
      <c r="D64" s="26">
        <f>EXP(-A64*E$64)</f>
        <v>0.34164858386902275</v>
      </c>
      <c r="E64" s="16">
        <f>'2012 - MTBF, MTTF, Exponencial'!AD9</f>
        <v>5.4794520547945206E-3</v>
      </c>
      <c r="F64" s="27">
        <v>41106</v>
      </c>
      <c r="G64" s="28" t="s">
        <v>370</v>
      </c>
      <c r="H64" s="28" t="s">
        <v>374</v>
      </c>
      <c r="I64" s="16">
        <f t="shared" si="0"/>
        <v>1</v>
      </c>
      <c r="J64" s="16">
        <v>60</v>
      </c>
      <c r="O64" s="29"/>
    </row>
    <row r="65" spans="1:15" s="28" customFormat="1" ht="15" customHeight="1" x14ac:dyDescent="0.25">
      <c r="A65" s="29">
        <f>DAYS360($A$5,F65)-A64</f>
        <v>100</v>
      </c>
      <c r="B65" s="29">
        <f t="shared" si="1"/>
        <v>2400</v>
      </c>
      <c r="C65" s="26">
        <f>1-EXP(-A65*$E$64)</f>
        <v>0.42186345748271603</v>
      </c>
      <c r="D65" s="26">
        <f>EXP(-A65*E$64)</f>
        <v>0.57813654251728397</v>
      </c>
      <c r="E65" s="58"/>
      <c r="F65" s="27">
        <v>41208</v>
      </c>
      <c r="G65" s="28" t="s">
        <v>370</v>
      </c>
      <c r="H65" s="28" t="s">
        <v>374</v>
      </c>
      <c r="I65" s="16">
        <f t="shared" si="0"/>
        <v>6</v>
      </c>
      <c r="J65" s="16">
        <v>360</v>
      </c>
    </row>
    <row r="66" spans="1:15" s="28" customFormat="1" ht="15" customHeight="1" x14ac:dyDescent="0.25">
      <c r="A66" s="47">
        <f>360-SUM(A64:A65)</f>
        <v>64</v>
      </c>
      <c r="B66" s="47">
        <f>A66*24</f>
        <v>1536</v>
      </c>
      <c r="C66" s="16"/>
      <c r="D66" s="16"/>
      <c r="E66" s="16"/>
      <c r="F66" s="27"/>
      <c r="I66" s="16"/>
      <c r="J66" s="16"/>
    </row>
    <row r="67" spans="1:15" s="28" customFormat="1" ht="15" customHeight="1" x14ac:dyDescent="0.25">
      <c r="A67" s="29">
        <f>DAYS360($A$5,F67)</f>
        <v>27</v>
      </c>
      <c r="B67" s="29">
        <f t="shared" si="1"/>
        <v>648</v>
      </c>
      <c r="C67" s="26">
        <f>1-EXP(-A67*$E$67)</f>
        <v>0.19901880429989693</v>
      </c>
      <c r="D67" s="26">
        <f>EXP(-A67*$E$67)</f>
        <v>0.80098119570010307</v>
      </c>
      <c r="E67" s="16">
        <f>'2012 - MTBF, MTTF, Exponencial'!AD13</f>
        <v>8.21917808219178E-3</v>
      </c>
      <c r="F67" s="27">
        <v>40935</v>
      </c>
      <c r="G67" s="28" t="s">
        <v>370</v>
      </c>
      <c r="H67" s="28" t="s">
        <v>378</v>
      </c>
      <c r="I67" s="16">
        <f t="shared" si="0"/>
        <v>4</v>
      </c>
      <c r="J67" s="16">
        <v>240</v>
      </c>
      <c r="O67" s="29"/>
    </row>
    <row r="68" spans="1:15" s="28" customFormat="1" ht="15" customHeight="1" x14ac:dyDescent="0.25">
      <c r="A68" s="29">
        <f>DAYS360($A$5,F68)-A67</f>
        <v>163</v>
      </c>
      <c r="B68" s="29">
        <f t="shared" si="1"/>
        <v>3912</v>
      </c>
      <c r="C68" s="26">
        <f>1-EXP(-A68*$E$67)</f>
        <v>0.73808258305224217</v>
      </c>
      <c r="D68" s="26">
        <f>EXP(-A68*$E$67)</f>
        <v>0.26191741694775778</v>
      </c>
      <c r="E68" s="58"/>
      <c r="F68" s="27">
        <v>41100</v>
      </c>
      <c r="G68" s="28" t="s">
        <v>370</v>
      </c>
      <c r="H68" s="28" t="s">
        <v>378</v>
      </c>
      <c r="I68" s="16">
        <f t="shared" si="0"/>
        <v>2</v>
      </c>
      <c r="J68" s="16">
        <v>120</v>
      </c>
    </row>
    <row r="69" spans="1:15" s="28" customFormat="1" ht="15" customHeight="1" x14ac:dyDescent="0.25">
      <c r="A69" s="29">
        <f>DAYS360($A$5,F69)-A68-A67</f>
        <v>67</v>
      </c>
      <c r="B69" s="29">
        <f t="shared" si="1"/>
        <v>1608</v>
      </c>
      <c r="C69" s="26">
        <f>1-EXP(-A69*$E$67)</f>
        <v>0.42344522542083662</v>
      </c>
      <c r="D69" s="26">
        <f>EXP(-A69*$E$67)</f>
        <v>0.57655477457916338</v>
      </c>
      <c r="E69" s="58"/>
      <c r="F69" s="27">
        <v>41169</v>
      </c>
      <c r="G69" s="28" t="s">
        <v>370</v>
      </c>
      <c r="H69" s="28" t="s">
        <v>378</v>
      </c>
      <c r="I69" s="16">
        <f t="shared" si="0"/>
        <v>1</v>
      </c>
      <c r="J69" s="16">
        <v>60</v>
      </c>
    </row>
    <row r="70" spans="1:15" ht="15" customHeight="1" x14ac:dyDescent="0.25">
      <c r="A70" s="47">
        <f>360-SUM(A67:A69)</f>
        <v>103</v>
      </c>
      <c r="B70" s="47">
        <f>A70*24</f>
        <v>2472</v>
      </c>
      <c r="F70" s="27"/>
      <c r="G70" s="28"/>
      <c r="H70" s="28"/>
    </row>
    <row r="71" spans="1:15" ht="15" customHeight="1" x14ac:dyDescent="0.25">
      <c r="A71" s="47"/>
      <c r="B71" s="47"/>
      <c r="F71" s="27"/>
      <c r="G71" s="28"/>
      <c r="H71" s="28"/>
    </row>
    <row r="72" spans="1:15" ht="15" customHeight="1" x14ac:dyDescent="0.25">
      <c r="A72"/>
    </row>
    <row r="73" spans="1:15" ht="15" customHeight="1" x14ac:dyDescent="0.25"/>
    <row r="74" spans="1:15" ht="15" customHeight="1" x14ac:dyDescent="0.25"/>
    <row r="75" spans="1:15" ht="15" customHeight="1" x14ac:dyDescent="0.25"/>
    <row r="76" spans="1:15" ht="15" customHeight="1" x14ac:dyDescent="0.25"/>
    <row r="77" spans="1:15" ht="15" customHeight="1" x14ac:dyDescent="0.25"/>
    <row r="78" spans="1:15" ht="15" customHeight="1" x14ac:dyDescent="0.25"/>
    <row r="79" spans="1:15" ht="15" customHeight="1" x14ac:dyDescent="0.25"/>
    <row r="80" spans="1:15" ht="15" customHeight="1" x14ac:dyDescent="0.25"/>
    <row r="81" spans="1:2" ht="15" customHeight="1" x14ac:dyDescent="0.25"/>
    <row r="82" spans="1:2" ht="15" customHeight="1" x14ac:dyDescent="0.25"/>
    <row r="95" spans="1:2" x14ac:dyDescent="0.25">
      <c r="A95" s="20"/>
      <c r="B95" s="20"/>
    </row>
    <row r="96" spans="1:2" ht="21" x14ac:dyDescent="0.35">
      <c r="A96" s="15"/>
      <c r="B96" s="15"/>
    </row>
    <row r="98" spans="8:8" x14ac:dyDescent="0.25">
      <c r="H98" s="17"/>
    </row>
  </sheetData>
  <sheetProtection sheet="1" objects="1" scenarios="1"/>
  <pageMargins left="0.7" right="0.7" top="0.75" bottom="0.75" header="0.3" footer="0.3"/>
  <pageSetup paperSize="9" orientation="portrait" horizontalDpi="300" r:id="rId1"/>
  <drawing r:id="rId2"/>
  <legacy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sheetPr>
  <dimension ref="A1:H53"/>
  <sheetViews>
    <sheetView zoomScaleNormal="100" workbookViewId="0">
      <selection activeCell="F26" sqref="F26"/>
    </sheetView>
  </sheetViews>
  <sheetFormatPr defaultRowHeight="15" x14ac:dyDescent="0.25"/>
  <cols>
    <col min="1" max="1" width="16.7109375" style="16" bestFit="1" customWidth="1"/>
    <col min="2" max="3" width="10.42578125" style="16" bestFit="1" customWidth="1"/>
    <col min="4" max="4" width="20" style="16" bestFit="1" customWidth="1"/>
    <col min="5" max="5" width="16.7109375" style="16" bestFit="1" customWidth="1"/>
    <col min="6" max="6" width="80.7109375" style="16" customWidth="1"/>
    <col min="7" max="7" width="17.5703125" style="16" bestFit="1" customWidth="1"/>
    <col min="8" max="8" width="13.28515625" style="16" customWidth="1"/>
    <col min="9" max="16384" width="9.140625" style="16"/>
  </cols>
  <sheetData>
    <row r="1" spans="1:8" ht="21" x14ac:dyDescent="0.35">
      <c r="A1" s="15" t="s">
        <v>171</v>
      </c>
    </row>
    <row r="3" spans="1:8" x14ac:dyDescent="0.25">
      <c r="A3" s="17" t="s">
        <v>175</v>
      </c>
      <c r="B3" s="17" t="s">
        <v>165</v>
      </c>
      <c r="C3" s="17" t="s">
        <v>5</v>
      </c>
      <c r="D3" s="17" t="s">
        <v>2</v>
      </c>
      <c r="E3" s="17" t="s">
        <v>0</v>
      </c>
      <c r="F3" s="17" t="s">
        <v>1</v>
      </c>
      <c r="G3" s="17" t="s">
        <v>188</v>
      </c>
      <c r="H3" s="17" t="s">
        <v>218</v>
      </c>
    </row>
    <row r="4" spans="1:8" x14ac:dyDescent="0.25">
      <c r="A4" s="16" t="s">
        <v>176</v>
      </c>
      <c r="B4" s="18">
        <v>40543</v>
      </c>
      <c r="G4" s="16" t="s">
        <v>187</v>
      </c>
    </row>
    <row r="5" spans="1:8" x14ac:dyDescent="0.25">
      <c r="B5" s="18"/>
    </row>
    <row r="6" spans="1:8" ht="45" x14ac:dyDescent="0.25">
      <c r="A6" s="29">
        <v>18</v>
      </c>
      <c r="B6" s="29">
        <f t="shared" ref="B6:B36" si="0">DAYS360($B$4,C6)</f>
        <v>18</v>
      </c>
      <c r="C6" s="27">
        <v>40561</v>
      </c>
      <c r="D6" s="28" t="s">
        <v>326</v>
      </c>
      <c r="E6" s="28" t="s">
        <v>369</v>
      </c>
      <c r="F6" s="28" t="s">
        <v>118</v>
      </c>
      <c r="G6" s="28">
        <f>10*24*60</f>
        <v>14400</v>
      </c>
      <c r="H6" s="28" t="s">
        <v>219</v>
      </c>
    </row>
    <row r="7" spans="1:8" ht="30" x14ac:dyDescent="0.25">
      <c r="A7" s="29">
        <f>B7-B6</f>
        <v>2</v>
      </c>
      <c r="B7" s="29">
        <f t="shared" si="0"/>
        <v>20</v>
      </c>
      <c r="C7" s="27">
        <v>40563</v>
      </c>
      <c r="D7" s="28" t="s">
        <v>342</v>
      </c>
      <c r="E7" s="28" t="s">
        <v>6</v>
      </c>
      <c r="F7" s="28" t="s">
        <v>119</v>
      </c>
      <c r="G7" s="16">
        <v>60</v>
      </c>
      <c r="H7" s="28" t="s">
        <v>219</v>
      </c>
    </row>
    <row r="8" spans="1:8" ht="30" x14ac:dyDescent="0.25">
      <c r="A8" s="29">
        <f t="shared" ref="A8:A36" si="1">B8-B7</f>
        <v>1</v>
      </c>
      <c r="B8" s="29">
        <f t="shared" si="0"/>
        <v>21</v>
      </c>
      <c r="C8" s="27">
        <v>40564</v>
      </c>
      <c r="D8" s="28" t="s">
        <v>342</v>
      </c>
      <c r="E8" s="28" t="s">
        <v>6</v>
      </c>
      <c r="F8" s="25" t="s">
        <v>120</v>
      </c>
      <c r="G8" s="16">
        <v>60</v>
      </c>
      <c r="H8" s="16" t="s">
        <v>219</v>
      </c>
    </row>
    <row r="9" spans="1:8" ht="30" x14ac:dyDescent="0.25">
      <c r="A9" s="29">
        <f t="shared" si="1"/>
        <v>19</v>
      </c>
      <c r="B9" s="29">
        <f t="shared" si="0"/>
        <v>40</v>
      </c>
      <c r="C9" s="27">
        <v>40584</v>
      </c>
      <c r="D9" s="28" t="s">
        <v>405</v>
      </c>
      <c r="E9" s="28" t="s">
        <v>6</v>
      </c>
      <c r="F9" s="28" t="s">
        <v>121</v>
      </c>
      <c r="G9" s="16">
        <v>180</v>
      </c>
      <c r="H9" s="28" t="s">
        <v>220</v>
      </c>
    </row>
    <row r="10" spans="1:8" ht="45" x14ac:dyDescent="0.25">
      <c r="A10" s="29">
        <f t="shared" si="1"/>
        <v>1</v>
      </c>
      <c r="B10" s="29">
        <f t="shared" si="0"/>
        <v>41</v>
      </c>
      <c r="C10" s="27">
        <v>40585</v>
      </c>
      <c r="D10" s="28" t="s">
        <v>333</v>
      </c>
      <c r="E10" s="28" t="s">
        <v>353</v>
      </c>
      <c r="F10" s="28" t="s">
        <v>122</v>
      </c>
      <c r="G10" s="16">
        <v>360</v>
      </c>
      <c r="H10" s="28" t="s">
        <v>219</v>
      </c>
    </row>
    <row r="11" spans="1:8" ht="30" x14ac:dyDescent="0.25">
      <c r="A11" s="29">
        <f t="shared" si="1"/>
        <v>1</v>
      </c>
      <c r="B11" s="29">
        <f t="shared" si="0"/>
        <v>42</v>
      </c>
      <c r="C11" s="27">
        <v>40586</v>
      </c>
      <c r="D11" s="28" t="s">
        <v>333</v>
      </c>
      <c r="E11" s="28" t="s">
        <v>353</v>
      </c>
      <c r="F11" s="25" t="s">
        <v>123</v>
      </c>
      <c r="G11" s="16">
        <v>180</v>
      </c>
      <c r="H11" s="28" t="s">
        <v>219</v>
      </c>
    </row>
    <row r="12" spans="1:8" x14ac:dyDescent="0.25">
      <c r="A12" s="29">
        <f t="shared" si="1"/>
        <v>2</v>
      </c>
      <c r="B12" s="29">
        <f t="shared" si="0"/>
        <v>44</v>
      </c>
      <c r="C12" s="27">
        <v>40588</v>
      </c>
      <c r="D12" s="28" t="s">
        <v>333</v>
      </c>
      <c r="E12" s="28" t="s">
        <v>353</v>
      </c>
      <c r="F12" s="28" t="s">
        <v>124</v>
      </c>
      <c r="G12" s="16">
        <v>120</v>
      </c>
      <c r="H12" s="28" t="s">
        <v>219</v>
      </c>
    </row>
    <row r="13" spans="1:8" ht="30" x14ac:dyDescent="0.25">
      <c r="A13" s="29">
        <f t="shared" si="1"/>
        <v>1</v>
      </c>
      <c r="B13" s="29">
        <f t="shared" si="0"/>
        <v>45</v>
      </c>
      <c r="C13" s="27">
        <v>40589</v>
      </c>
      <c r="D13" s="28" t="s">
        <v>333</v>
      </c>
      <c r="E13" s="28" t="s">
        <v>359</v>
      </c>
      <c r="F13" s="25" t="s">
        <v>418</v>
      </c>
      <c r="G13" s="16">
        <v>120</v>
      </c>
      <c r="H13" s="28" t="s">
        <v>219</v>
      </c>
    </row>
    <row r="14" spans="1:8" ht="30" x14ac:dyDescent="0.25">
      <c r="A14" s="29">
        <f t="shared" si="1"/>
        <v>7</v>
      </c>
      <c r="B14" s="29">
        <f t="shared" si="0"/>
        <v>52</v>
      </c>
      <c r="C14" s="27">
        <v>40596</v>
      </c>
      <c r="D14" s="28" t="s">
        <v>326</v>
      </c>
      <c r="E14" s="28" t="s">
        <v>6</v>
      </c>
      <c r="F14" s="25" t="s">
        <v>125</v>
      </c>
      <c r="G14" s="16">
        <v>30</v>
      </c>
      <c r="H14" s="28" t="s">
        <v>220</v>
      </c>
    </row>
    <row r="15" spans="1:8" ht="30" x14ac:dyDescent="0.25">
      <c r="A15" s="29">
        <f t="shared" si="1"/>
        <v>3</v>
      </c>
      <c r="B15" s="29">
        <f t="shared" si="0"/>
        <v>55</v>
      </c>
      <c r="C15" s="27">
        <v>40599</v>
      </c>
      <c r="D15" s="28" t="s">
        <v>342</v>
      </c>
      <c r="E15" s="28" t="s">
        <v>6</v>
      </c>
      <c r="F15" s="28" t="s">
        <v>126</v>
      </c>
      <c r="G15" s="16">
        <f>8*60</f>
        <v>480</v>
      </c>
      <c r="H15" s="28" t="s">
        <v>219</v>
      </c>
    </row>
    <row r="16" spans="1:8" ht="30" x14ac:dyDescent="0.25">
      <c r="A16" s="29">
        <f t="shared" si="1"/>
        <v>6</v>
      </c>
      <c r="B16" s="29">
        <f t="shared" si="0"/>
        <v>61</v>
      </c>
      <c r="C16" s="27">
        <v>40603</v>
      </c>
      <c r="D16" s="28" t="s">
        <v>342</v>
      </c>
      <c r="E16" s="28" t="s">
        <v>6</v>
      </c>
      <c r="F16" s="28" t="s">
        <v>127</v>
      </c>
      <c r="G16" s="16">
        <v>240</v>
      </c>
      <c r="H16" s="28" t="s">
        <v>219</v>
      </c>
    </row>
    <row r="17" spans="1:8" ht="30" x14ac:dyDescent="0.25">
      <c r="A17" s="29">
        <f t="shared" si="1"/>
        <v>13</v>
      </c>
      <c r="B17" s="29">
        <f t="shared" si="0"/>
        <v>74</v>
      </c>
      <c r="C17" s="27">
        <v>40616</v>
      </c>
      <c r="D17" s="28" t="s">
        <v>342</v>
      </c>
      <c r="E17" s="28" t="s">
        <v>353</v>
      </c>
      <c r="F17" s="28" t="s">
        <v>128</v>
      </c>
      <c r="G17" s="16">
        <v>120</v>
      </c>
      <c r="H17" s="28" t="s">
        <v>220</v>
      </c>
    </row>
    <row r="18" spans="1:8" ht="30" x14ac:dyDescent="0.25">
      <c r="A18" s="29">
        <f t="shared" si="1"/>
        <v>2</v>
      </c>
      <c r="B18" s="29">
        <f t="shared" si="0"/>
        <v>76</v>
      </c>
      <c r="C18" s="27">
        <v>40618</v>
      </c>
      <c r="D18" s="28" t="s">
        <v>342</v>
      </c>
      <c r="E18" s="28" t="s">
        <v>6</v>
      </c>
      <c r="F18" s="28" t="s">
        <v>129</v>
      </c>
      <c r="G18" s="16">
        <v>30</v>
      </c>
      <c r="H18" s="28" t="s">
        <v>219</v>
      </c>
    </row>
    <row r="19" spans="1:8" ht="30" x14ac:dyDescent="0.25">
      <c r="A19" s="29">
        <f t="shared" si="1"/>
        <v>2</v>
      </c>
      <c r="B19" s="29">
        <f t="shared" si="0"/>
        <v>78</v>
      </c>
      <c r="C19" s="27">
        <v>40620</v>
      </c>
      <c r="D19" s="28" t="s">
        <v>342</v>
      </c>
      <c r="E19" s="28" t="s">
        <v>367</v>
      </c>
      <c r="F19" s="28" t="s">
        <v>130</v>
      </c>
      <c r="G19" s="16">
        <v>300</v>
      </c>
      <c r="H19" s="28" t="s">
        <v>219</v>
      </c>
    </row>
    <row r="20" spans="1:8" ht="45" x14ac:dyDescent="0.25">
      <c r="A20" s="29">
        <f t="shared" si="1"/>
        <v>23</v>
      </c>
      <c r="B20" s="29">
        <f t="shared" si="0"/>
        <v>101</v>
      </c>
      <c r="C20" s="27">
        <v>40644</v>
      </c>
      <c r="D20" s="28" t="s">
        <v>333</v>
      </c>
      <c r="E20" s="28" t="s">
        <v>353</v>
      </c>
      <c r="F20" s="25" t="s">
        <v>131</v>
      </c>
      <c r="G20" s="16">
        <v>360</v>
      </c>
      <c r="H20" s="28" t="s">
        <v>219</v>
      </c>
    </row>
    <row r="21" spans="1:8" ht="30" x14ac:dyDescent="0.25">
      <c r="A21" s="29">
        <f t="shared" si="1"/>
        <v>11</v>
      </c>
      <c r="B21" s="29">
        <f t="shared" si="0"/>
        <v>112</v>
      </c>
      <c r="C21" s="27">
        <v>40655</v>
      </c>
      <c r="D21" s="28" t="s">
        <v>385</v>
      </c>
      <c r="E21" s="28" t="s">
        <v>394</v>
      </c>
      <c r="F21" s="28" t="s">
        <v>132</v>
      </c>
      <c r="G21" s="16">
        <v>360</v>
      </c>
      <c r="H21" s="28" t="s">
        <v>219</v>
      </c>
    </row>
    <row r="22" spans="1:8" ht="30" x14ac:dyDescent="0.25">
      <c r="A22" s="29">
        <f t="shared" si="1"/>
        <v>25</v>
      </c>
      <c r="B22" s="29">
        <f t="shared" si="0"/>
        <v>137</v>
      </c>
      <c r="C22" s="27">
        <v>40680</v>
      </c>
      <c r="D22" s="28" t="s">
        <v>333</v>
      </c>
      <c r="E22" s="28" t="s">
        <v>353</v>
      </c>
      <c r="F22" s="28" t="s">
        <v>133</v>
      </c>
      <c r="G22" s="16">
        <v>120</v>
      </c>
      <c r="H22" s="28" t="s">
        <v>219</v>
      </c>
    </row>
    <row r="23" spans="1:8" ht="45" x14ac:dyDescent="0.25">
      <c r="A23" s="29">
        <f t="shared" si="1"/>
        <v>0</v>
      </c>
      <c r="B23" s="29">
        <f t="shared" si="0"/>
        <v>137</v>
      </c>
      <c r="C23" s="27">
        <v>40680</v>
      </c>
      <c r="D23" s="28" t="s">
        <v>333</v>
      </c>
      <c r="E23" s="28" t="s">
        <v>353</v>
      </c>
      <c r="F23" s="25" t="s">
        <v>134</v>
      </c>
      <c r="G23" s="16">
        <v>30</v>
      </c>
      <c r="H23" s="28" t="s">
        <v>220</v>
      </c>
    </row>
    <row r="24" spans="1:8" ht="30" x14ac:dyDescent="0.25">
      <c r="A24" s="29">
        <f t="shared" si="1"/>
        <v>0</v>
      </c>
      <c r="B24" s="29">
        <f t="shared" si="0"/>
        <v>137</v>
      </c>
      <c r="C24" s="27">
        <v>40680</v>
      </c>
      <c r="D24" s="28" t="s">
        <v>406</v>
      </c>
      <c r="E24" s="28" t="s">
        <v>359</v>
      </c>
      <c r="F24" s="28" t="s">
        <v>135</v>
      </c>
      <c r="G24" s="16">
        <v>120</v>
      </c>
      <c r="H24" s="28" t="s">
        <v>219</v>
      </c>
    </row>
    <row r="25" spans="1:8" ht="60" x14ac:dyDescent="0.25">
      <c r="A25" s="29">
        <f t="shared" si="1"/>
        <v>7</v>
      </c>
      <c r="B25" s="29">
        <f t="shared" si="0"/>
        <v>144</v>
      </c>
      <c r="C25" s="27">
        <v>40687</v>
      </c>
      <c r="D25" s="28" t="s">
        <v>333</v>
      </c>
      <c r="E25" s="28" t="s">
        <v>353</v>
      </c>
      <c r="F25" s="28" t="s">
        <v>334</v>
      </c>
      <c r="G25" s="16">
        <v>180</v>
      </c>
      <c r="H25" s="28" t="s">
        <v>219</v>
      </c>
    </row>
    <row r="26" spans="1:8" ht="30" x14ac:dyDescent="0.25">
      <c r="A26" s="29">
        <f t="shared" si="1"/>
        <v>29</v>
      </c>
      <c r="B26" s="29">
        <f t="shared" si="0"/>
        <v>173</v>
      </c>
      <c r="C26" s="27">
        <v>40717</v>
      </c>
      <c r="D26" s="28" t="s">
        <v>342</v>
      </c>
      <c r="E26" s="28" t="s">
        <v>353</v>
      </c>
      <c r="F26" s="28" t="s">
        <v>136</v>
      </c>
      <c r="G26" s="16">
        <v>30</v>
      </c>
      <c r="H26" s="28" t="s">
        <v>219</v>
      </c>
    </row>
    <row r="27" spans="1:8" ht="30" x14ac:dyDescent="0.25">
      <c r="A27" s="29">
        <f t="shared" si="1"/>
        <v>38</v>
      </c>
      <c r="B27" s="29">
        <f t="shared" si="0"/>
        <v>211</v>
      </c>
      <c r="C27" s="27">
        <v>40756</v>
      </c>
      <c r="D27" s="28" t="s">
        <v>342</v>
      </c>
      <c r="E27" s="28" t="s">
        <v>368</v>
      </c>
      <c r="F27" s="28" t="s">
        <v>137</v>
      </c>
      <c r="G27" s="16">
        <v>60</v>
      </c>
      <c r="H27" s="28" t="s">
        <v>220</v>
      </c>
    </row>
    <row r="28" spans="1:8" ht="30" x14ac:dyDescent="0.25">
      <c r="A28" s="29">
        <f t="shared" si="1"/>
        <v>4</v>
      </c>
      <c r="B28" s="29">
        <f t="shared" si="0"/>
        <v>215</v>
      </c>
      <c r="C28" s="27">
        <v>40760</v>
      </c>
      <c r="D28" s="28" t="s">
        <v>370</v>
      </c>
      <c r="E28" s="28" t="s">
        <v>370</v>
      </c>
      <c r="F28" s="28" t="s">
        <v>138</v>
      </c>
      <c r="G28" s="16">
        <f>5*24*60</f>
        <v>7200</v>
      </c>
      <c r="H28" s="28" t="s">
        <v>220</v>
      </c>
    </row>
    <row r="29" spans="1:8" ht="30" x14ac:dyDescent="0.25">
      <c r="A29" s="29">
        <f t="shared" si="1"/>
        <v>1</v>
      </c>
      <c r="B29" s="29">
        <f t="shared" si="0"/>
        <v>216</v>
      </c>
      <c r="C29" s="27">
        <v>40761</v>
      </c>
      <c r="D29" s="28" t="s">
        <v>333</v>
      </c>
      <c r="E29" s="28" t="s">
        <v>353</v>
      </c>
      <c r="F29" s="28" t="s">
        <v>139</v>
      </c>
      <c r="G29" s="16">
        <v>120</v>
      </c>
      <c r="H29" s="28" t="s">
        <v>219</v>
      </c>
    </row>
    <row r="30" spans="1:8" ht="30" x14ac:dyDescent="0.25">
      <c r="A30" s="29">
        <f t="shared" si="1"/>
        <v>17</v>
      </c>
      <c r="B30" s="29">
        <f t="shared" si="0"/>
        <v>233</v>
      </c>
      <c r="C30" s="27">
        <v>40778</v>
      </c>
      <c r="D30" s="28" t="s">
        <v>342</v>
      </c>
      <c r="E30" s="28" t="s">
        <v>368</v>
      </c>
      <c r="F30" s="28" t="s">
        <v>137</v>
      </c>
      <c r="G30" s="16">
        <v>60</v>
      </c>
      <c r="H30" s="28" t="s">
        <v>220</v>
      </c>
    </row>
    <row r="31" spans="1:8" ht="30" x14ac:dyDescent="0.25">
      <c r="A31" s="29">
        <f t="shared" si="1"/>
        <v>6</v>
      </c>
      <c r="B31" s="29">
        <f t="shared" si="0"/>
        <v>239</v>
      </c>
      <c r="C31" s="27">
        <v>40784</v>
      </c>
      <c r="D31" s="28" t="s">
        <v>370</v>
      </c>
      <c r="E31" s="28" t="s">
        <v>384</v>
      </c>
      <c r="F31" s="28" t="s">
        <v>140</v>
      </c>
      <c r="G31" s="16">
        <v>180</v>
      </c>
      <c r="H31" s="28" t="s">
        <v>219</v>
      </c>
    </row>
    <row r="32" spans="1:8" ht="45" x14ac:dyDescent="0.25">
      <c r="A32" s="29">
        <f t="shared" si="1"/>
        <v>15</v>
      </c>
      <c r="B32" s="29">
        <f t="shared" si="0"/>
        <v>254</v>
      </c>
      <c r="C32" s="27">
        <v>40800</v>
      </c>
      <c r="D32" s="28" t="s">
        <v>405</v>
      </c>
      <c r="E32" s="28" t="s">
        <v>6</v>
      </c>
      <c r="F32" s="28" t="s">
        <v>141</v>
      </c>
      <c r="G32" s="16">
        <v>240</v>
      </c>
      <c r="H32" s="28" t="s">
        <v>219</v>
      </c>
    </row>
    <row r="33" spans="1:8" ht="60" x14ac:dyDescent="0.25">
      <c r="A33" s="29">
        <f t="shared" si="1"/>
        <v>41</v>
      </c>
      <c r="B33" s="29">
        <f t="shared" si="0"/>
        <v>295</v>
      </c>
      <c r="C33" s="27">
        <v>40841</v>
      </c>
      <c r="D33" s="28" t="s">
        <v>342</v>
      </c>
      <c r="E33" s="28" t="s">
        <v>359</v>
      </c>
      <c r="F33" s="28" t="s">
        <v>142</v>
      </c>
      <c r="G33" s="16">
        <v>180</v>
      </c>
      <c r="H33" s="28" t="s">
        <v>220</v>
      </c>
    </row>
    <row r="34" spans="1:8" ht="30" x14ac:dyDescent="0.25">
      <c r="A34" s="29">
        <f t="shared" si="1"/>
        <v>1</v>
      </c>
      <c r="B34" s="29">
        <f t="shared" si="0"/>
        <v>296</v>
      </c>
      <c r="C34" s="27">
        <v>40842</v>
      </c>
      <c r="D34" s="28" t="s">
        <v>342</v>
      </c>
      <c r="E34" s="28" t="s">
        <v>368</v>
      </c>
      <c r="F34" s="28" t="s">
        <v>143</v>
      </c>
      <c r="G34" s="16">
        <v>120</v>
      </c>
      <c r="H34" s="28" t="s">
        <v>219</v>
      </c>
    </row>
    <row r="35" spans="1:8" ht="30" x14ac:dyDescent="0.25">
      <c r="A35" s="29">
        <f t="shared" si="1"/>
        <v>1</v>
      </c>
      <c r="B35" s="29">
        <f t="shared" si="0"/>
        <v>297</v>
      </c>
      <c r="C35" s="27">
        <v>40843</v>
      </c>
      <c r="D35" s="28" t="s">
        <v>342</v>
      </c>
      <c r="E35" s="28" t="s">
        <v>353</v>
      </c>
      <c r="F35" s="25" t="s">
        <v>144</v>
      </c>
      <c r="G35" s="16">
        <v>180</v>
      </c>
      <c r="H35" s="28" t="s">
        <v>220</v>
      </c>
    </row>
    <row r="36" spans="1:8" ht="30" x14ac:dyDescent="0.25">
      <c r="A36" s="29">
        <f t="shared" si="1"/>
        <v>35</v>
      </c>
      <c r="B36" s="29">
        <f t="shared" si="0"/>
        <v>332</v>
      </c>
      <c r="C36" s="27">
        <v>40879</v>
      </c>
      <c r="D36" s="28" t="s">
        <v>342</v>
      </c>
      <c r="E36" s="28" t="s">
        <v>353</v>
      </c>
      <c r="F36" s="25" t="s">
        <v>145</v>
      </c>
      <c r="G36" s="16">
        <v>30</v>
      </c>
      <c r="H36" s="28" t="s">
        <v>219</v>
      </c>
    </row>
    <row r="37" spans="1:8" x14ac:dyDescent="0.25">
      <c r="C37" s="18"/>
    </row>
    <row r="38" spans="1:8" x14ac:dyDescent="0.25">
      <c r="A38" s="21" t="s">
        <v>183</v>
      </c>
    </row>
    <row r="39" spans="1:8" x14ac:dyDescent="0.25">
      <c r="A39" s="16" t="s">
        <v>217</v>
      </c>
      <c r="C39" s="18"/>
    </row>
    <row r="40" spans="1:8" x14ac:dyDescent="0.25">
      <c r="C40" s="18"/>
    </row>
    <row r="41" spans="1:8" x14ac:dyDescent="0.25">
      <c r="C41" s="18"/>
    </row>
    <row r="42" spans="1:8" x14ac:dyDescent="0.25">
      <c r="C42" s="18"/>
    </row>
    <row r="43" spans="1:8" x14ac:dyDescent="0.25">
      <c r="C43" s="18"/>
    </row>
    <row r="44" spans="1:8" x14ac:dyDescent="0.25">
      <c r="C44" s="18"/>
    </row>
    <row r="45" spans="1:8" x14ac:dyDescent="0.25">
      <c r="C45" s="18"/>
    </row>
    <row r="46" spans="1:8" x14ac:dyDescent="0.25">
      <c r="C46" s="18"/>
    </row>
    <row r="47" spans="1:8" x14ac:dyDescent="0.25">
      <c r="C47" s="18"/>
    </row>
    <row r="48" spans="1:8" x14ac:dyDescent="0.25">
      <c r="C48" s="18"/>
    </row>
    <row r="49" spans="3:3" x14ac:dyDescent="0.25">
      <c r="C49" s="18"/>
    </row>
    <row r="50" spans="3:3" x14ac:dyDescent="0.25">
      <c r="C50" s="18"/>
    </row>
    <row r="51" spans="3:3" x14ac:dyDescent="0.25">
      <c r="C51" s="18"/>
    </row>
    <row r="52" spans="3:3" x14ac:dyDescent="0.25">
      <c r="C52" s="18"/>
    </row>
    <row r="53" spans="3:3" x14ac:dyDescent="0.25">
      <c r="C53" s="18"/>
    </row>
  </sheetData>
  <sheetProtection sheet="1" objects="1" scenarios="1"/>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sheetPr>
  <dimension ref="B2:I35"/>
  <sheetViews>
    <sheetView zoomScaleNormal="100" workbookViewId="0"/>
  </sheetViews>
  <sheetFormatPr defaultRowHeight="15" x14ac:dyDescent="0.25"/>
  <cols>
    <col min="1" max="1" width="3" customWidth="1"/>
    <col min="2" max="2" width="10.42578125" bestFit="1" customWidth="1"/>
    <col min="3" max="3" width="12" bestFit="1" customWidth="1"/>
    <col min="4" max="4" width="10.42578125" bestFit="1" customWidth="1"/>
    <col min="5" max="5" width="9.140625" customWidth="1"/>
    <col min="6" max="6" width="10.42578125" bestFit="1" customWidth="1"/>
    <col min="7" max="7" width="12" bestFit="1" customWidth="1"/>
    <col min="8" max="8" width="10.42578125" bestFit="1" customWidth="1"/>
    <col min="9" max="9" width="20" bestFit="1" customWidth="1"/>
  </cols>
  <sheetData>
    <row r="2" spans="2:9" x14ac:dyDescent="0.25">
      <c r="B2" s="123" t="s">
        <v>181</v>
      </c>
      <c r="C2" s="123"/>
      <c r="D2" s="123"/>
      <c r="F2" s="123" t="s">
        <v>182</v>
      </c>
      <c r="G2" s="123"/>
      <c r="H2" s="123"/>
      <c r="I2" s="123"/>
    </row>
    <row r="3" spans="2:9" x14ac:dyDescent="0.25">
      <c r="B3" s="123"/>
      <c r="C3" s="123"/>
      <c r="D3" s="123"/>
      <c r="F3" s="123"/>
      <c r="G3" s="123"/>
      <c r="H3" s="123"/>
      <c r="I3" s="123"/>
    </row>
    <row r="4" spans="2:9" x14ac:dyDescent="0.25">
      <c r="B4" s="7" t="s">
        <v>165</v>
      </c>
      <c r="C4" s="7" t="s">
        <v>168</v>
      </c>
      <c r="D4" s="7" t="s">
        <v>5</v>
      </c>
      <c r="E4" s="2"/>
      <c r="F4" s="7" t="s">
        <v>165</v>
      </c>
      <c r="G4" s="7" t="s">
        <v>168</v>
      </c>
      <c r="H4" s="7" t="s">
        <v>5</v>
      </c>
      <c r="I4" s="7" t="s">
        <v>2</v>
      </c>
    </row>
    <row r="5" spans="2:9" x14ac:dyDescent="0.25">
      <c r="B5" s="8">
        <v>40543</v>
      </c>
      <c r="C5" s="8"/>
      <c r="D5" s="9"/>
      <c r="F5" s="8">
        <f>B5</f>
        <v>40543</v>
      </c>
      <c r="G5" s="8"/>
      <c r="H5" s="9"/>
      <c r="I5" s="9"/>
    </row>
    <row r="6" spans="2:9" x14ac:dyDescent="0.25">
      <c r="B6" s="6">
        <f>DAYS360($B$5,D6)</f>
        <v>18</v>
      </c>
      <c r="C6" s="10">
        <v>1</v>
      </c>
      <c r="D6" s="5">
        <v>40561</v>
      </c>
      <c r="F6" s="6">
        <f t="shared" ref="F6:F35" si="0">DAYS360($B$5,H6)</f>
        <v>40</v>
      </c>
      <c r="G6" s="14">
        <v>1</v>
      </c>
      <c r="H6" s="5">
        <v>40584</v>
      </c>
      <c r="I6" s="6" t="s">
        <v>405</v>
      </c>
    </row>
    <row r="7" spans="2:9" x14ac:dyDescent="0.25">
      <c r="B7" s="6">
        <f t="shared" ref="B7:B34" si="1">DAYS360($B$5,D7)</f>
        <v>20</v>
      </c>
      <c r="C7" s="10">
        <v>1</v>
      </c>
      <c r="D7" s="5">
        <v>40563</v>
      </c>
      <c r="F7" s="6">
        <f t="shared" si="0"/>
        <v>254</v>
      </c>
      <c r="G7" s="14">
        <v>1</v>
      </c>
      <c r="H7" s="5">
        <v>40800</v>
      </c>
      <c r="I7" s="6" t="s">
        <v>405</v>
      </c>
    </row>
    <row r="8" spans="2:9" x14ac:dyDescent="0.25">
      <c r="B8" s="6">
        <f t="shared" si="1"/>
        <v>21</v>
      </c>
      <c r="C8" s="10">
        <v>1</v>
      </c>
      <c r="D8" s="5">
        <v>40564</v>
      </c>
      <c r="F8" s="6">
        <f t="shared" si="0"/>
        <v>137</v>
      </c>
      <c r="G8" s="14">
        <v>1</v>
      </c>
      <c r="H8" s="5">
        <v>40680</v>
      </c>
      <c r="I8" s="6" t="s">
        <v>406</v>
      </c>
    </row>
    <row r="9" spans="2:9" x14ac:dyDescent="0.25">
      <c r="B9" s="6">
        <f t="shared" si="1"/>
        <v>40</v>
      </c>
      <c r="C9" s="10">
        <v>1</v>
      </c>
      <c r="D9" s="5">
        <v>40584</v>
      </c>
      <c r="F9" s="6">
        <f t="shared" si="0"/>
        <v>18</v>
      </c>
      <c r="G9" s="14">
        <v>1</v>
      </c>
      <c r="H9" s="5">
        <v>40561</v>
      </c>
      <c r="I9" s="6" t="s">
        <v>326</v>
      </c>
    </row>
    <row r="10" spans="2:9" x14ac:dyDescent="0.25">
      <c r="B10" s="6">
        <f t="shared" si="1"/>
        <v>41</v>
      </c>
      <c r="C10" s="10">
        <v>1</v>
      </c>
      <c r="D10" s="5">
        <v>40585</v>
      </c>
      <c r="F10" s="6">
        <f t="shared" si="0"/>
        <v>52</v>
      </c>
      <c r="G10" s="14">
        <v>1</v>
      </c>
      <c r="H10" s="5">
        <v>40596</v>
      </c>
      <c r="I10" s="6" t="s">
        <v>326</v>
      </c>
    </row>
    <row r="11" spans="2:9" x14ac:dyDescent="0.25">
      <c r="B11" s="6">
        <f t="shared" si="1"/>
        <v>42</v>
      </c>
      <c r="C11" s="10">
        <v>1</v>
      </c>
      <c r="D11" s="5">
        <v>40586</v>
      </c>
      <c r="F11" s="6">
        <f t="shared" si="0"/>
        <v>41</v>
      </c>
      <c r="G11" s="14">
        <v>1</v>
      </c>
      <c r="H11" s="5">
        <v>40585</v>
      </c>
      <c r="I11" s="6" t="s">
        <v>333</v>
      </c>
    </row>
    <row r="12" spans="2:9" x14ac:dyDescent="0.25">
      <c r="B12" s="6">
        <f t="shared" si="1"/>
        <v>44</v>
      </c>
      <c r="C12" s="10">
        <v>1</v>
      </c>
      <c r="D12" s="5">
        <v>40588</v>
      </c>
      <c r="F12" s="6">
        <f t="shared" si="0"/>
        <v>42</v>
      </c>
      <c r="G12" s="14">
        <v>1</v>
      </c>
      <c r="H12" s="5">
        <v>40586</v>
      </c>
      <c r="I12" s="6" t="s">
        <v>333</v>
      </c>
    </row>
    <row r="13" spans="2:9" x14ac:dyDescent="0.25">
      <c r="B13" s="6">
        <f t="shared" si="1"/>
        <v>45</v>
      </c>
      <c r="C13" s="10">
        <v>1</v>
      </c>
      <c r="D13" s="5">
        <v>40589</v>
      </c>
      <c r="F13" s="6">
        <f t="shared" si="0"/>
        <v>44</v>
      </c>
      <c r="G13" s="14">
        <v>1</v>
      </c>
      <c r="H13" s="5">
        <v>40588</v>
      </c>
      <c r="I13" s="6" t="s">
        <v>333</v>
      </c>
    </row>
    <row r="14" spans="2:9" x14ac:dyDescent="0.25">
      <c r="B14" s="6">
        <f t="shared" si="1"/>
        <v>52</v>
      </c>
      <c r="C14" s="10">
        <v>1</v>
      </c>
      <c r="D14" s="5">
        <v>40596</v>
      </c>
      <c r="F14" s="6">
        <f t="shared" si="0"/>
        <v>45</v>
      </c>
      <c r="G14" s="14">
        <v>1</v>
      </c>
      <c r="H14" s="5">
        <v>40589</v>
      </c>
      <c r="I14" s="6" t="s">
        <v>333</v>
      </c>
    </row>
    <row r="15" spans="2:9" x14ac:dyDescent="0.25">
      <c r="B15" s="6">
        <f t="shared" si="1"/>
        <v>55</v>
      </c>
      <c r="C15" s="10">
        <v>1</v>
      </c>
      <c r="D15" s="5">
        <v>40599</v>
      </c>
      <c r="F15" s="6">
        <f t="shared" si="0"/>
        <v>101</v>
      </c>
      <c r="G15" s="14">
        <v>1</v>
      </c>
      <c r="H15" s="5">
        <v>40644</v>
      </c>
      <c r="I15" s="6" t="s">
        <v>333</v>
      </c>
    </row>
    <row r="16" spans="2:9" x14ac:dyDescent="0.25">
      <c r="B16" s="6">
        <f t="shared" si="1"/>
        <v>61</v>
      </c>
      <c r="C16" s="10">
        <v>1</v>
      </c>
      <c r="D16" s="5">
        <v>40603</v>
      </c>
      <c r="F16" s="6">
        <f t="shared" si="0"/>
        <v>137</v>
      </c>
      <c r="G16" s="14">
        <v>2</v>
      </c>
      <c r="H16" s="5">
        <v>40680</v>
      </c>
      <c r="I16" s="6" t="s">
        <v>333</v>
      </c>
    </row>
    <row r="17" spans="2:9" x14ac:dyDescent="0.25">
      <c r="B17" s="6">
        <f t="shared" si="1"/>
        <v>74</v>
      </c>
      <c r="C17" s="10">
        <v>1</v>
      </c>
      <c r="D17" s="5">
        <v>40616</v>
      </c>
      <c r="F17" s="6">
        <f t="shared" si="0"/>
        <v>144</v>
      </c>
      <c r="G17" s="14">
        <v>1</v>
      </c>
      <c r="H17" s="5">
        <v>40687</v>
      </c>
      <c r="I17" s="6" t="s">
        <v>333</v>
      </c>
    </row>
    <row r="18" spans="2:9" x14ac:dyDescent="0.25">
      <c r="B18" s="6">
        <f t="shared" si="1"/>
        <v>76</v>
      </c>
      <c r="C18" s="10">
        <v>1</v>
      </c>
      <c r="D18" s="5">
        <v>40618</v>
      </c>
      <c r="F18" s="6">
        <f t="shared" si="0"/>
        <v>216</v>
      </c>
      <c r="G18" s="14">
        <v>1</v>
      </c>
      <c r="H18" s="5">
        <v>40761</v>
      </c>
      <c r="I18" s="6" t="s">
        <v>333</v>
      </c>
    </row>
    <row r="19" spans="2:9" x14ac:dyDescent="0.25">
      <c r="B19" s="6">
        <f t="shared" si="1"/>
        <v>78</v>
      </c>
      <c r="C19" s="10">
        <v>1</v>
      </c>
      <c r="D19" s="5">
        <v>40620</v>
      </c>
      <c r="F19" s="6">
        <f t="shared" si="0"/>
        <v>20</v>
      </c>
      <c r="G19" s="14">
        <v>1</v>
      </c>
      <c r="H19" s="5">
        <v>40563</v>
      </c>
      <c r="I19" s="6" t="s">
        <v>342</v>
      </c>
    </row>
    <row r="20" spans="2:9" x14ac:dyDescent="0.25">
      <c r="B20" s="6">
        <f t="shared" si="1"/>
        <v>101</v>
      </c>
      <c r="C20" s="10">
        <v>1</v>
      </c>
      <c r="D20" s="5">
        <v>40644</v>
      </c>
      <c r="F20" s="6">
        <f t="shared" si="0"/>
        <v>21</v>
      </c>
      <c r="G20" s="14">
        <v>1</v>
      </c>
      <c r="H20" s="5">
        <v>40564</v>
      </c>
      <c r="I20" s="6" t="s">
        <v>342</v>
      </c>
    </row>
    <row r="21" spans="2:9" x14ac:dyDescent="0.25">
      <c r="B21" s="6">
        <f t="shared" si="1"/>
        <v>112</v>
      </c>
      <c r="C21" s="10">
        <v>1</v>
      </c>
      <c r="D21" s="5">
        <v>40655</v>
      </c>
      <c r="F21" s="6">
        <f t="shared" si="0"/>
        <v>55</v>
      </c>
      <c r="G21" s="14">
        <v>1</v>
      </c>
      <c r="H21" s="5">
        <v>40599</v>
      </c>
      <c r="I21" s="6" t="s">
        <v>342</v>
      </c>
    </row>
    <row r="22" spans="2:9" x14ac:dyDescent="0.25">
      <c r="B22" s="6">
        <f t="shared" si="1"/>
        <v>137</v>
      </c>
      <c r="C22" s="10">
        <v>3</v>
      </c>
      <c r="D22" s="5">
        <v>40680</v>
      </c>
      <c r="F22" s="6">
        <f t="shared" si="0"/>
        <v>61</v>
      </c>
      <c r="G22" s="14">
        <v>1</v>
      </c>
      <c r="H22" s="5">
        <v>40603</v>
      </c>
      <c r="I22" s="6" t="s">
        <v>342</v>
      </c>
    </row>
    <row r="23" spans="2:9" x14ac:dyDescent="0.25">
      <c r="B23" s="6">
        <f t="shared" si="1"/>
        <v>144</v>
      </c>
      <c r="C23" s="10">
        <v>1</v>
      </c>
      <c r="D23" s="5">
        <v>40687</v>
      </c>
      <c r="F23" s="6">
        <f t="shared" si="0"/>
        <v>74</v>
      </c>
      <c r="G23" s="14">
        <v>1</v>
      </c>
      <c r="H23" s="5">
        <v>40616</v>
      </c>
      <c r="I23" s="6" t="s">
        <v>342</v>
      </c>
    </row>
    <row r="24" spans="2:9" x14ac:dyDescent="0.25">
      <c r="B24" s="6">
        <f t="shared" si="1"/>
        <v>173</v>
      </c>
      <c r="C24" s="10">
        <v>1</v>
      </c>
      <c r="D24" s="5">
        <v>40717</v>
      </c>
      <c r="F24" s="6">
        <f t="shared" si="0"/>
        <v>76</v>
      </c>
      <c r="G24" s="14">
        <v>1</v>
      </c>
      <c r="H24" s="5">
        <v>40618</v>
      </c>
      <c r="I24" s="6" t="s">
        <v>342</v>
      </c>
    </row>
    <row r="25" spans="2:9" x14ac:dyDescent="0.25">
      <c r="B25" s="6">
        <f t="shared" si="1"/>
        <v>211</v>
      </c>
      <c r="C25" s="10">
        <v>1</v>
      </c>
      <c r="D25" s="5">
        <v>40756</v>
      </c>
      <c r="F25" s="6">
        <f t="shared" si="0"/>
        <v>78</v>
      </c>
      <c r="G25" s="14">
        <v>1</v>
      </c>
      <c r="H25" s="5">
        <v>40620</v>
      </c>
      <c r="I25" s="6" t="s">
        <v>342</v>
      </c>
    </row>
    <row r="26" spans="2:9" x14ac:dyDescent="0.25">
      <c r="B26" s="6">
        <f t="shared" si="1"/>
        <v>215</v>
      </c>
      <c r="C26" s="10">
        <v>1</v>
      </c>
      <c r="D26" s="5">
        <v>40760</v>
      </c>
      <c r="F26" s="6">
        <f t="shared" si="0"/>
        <v>173</v>
      </c>
      <c r="G26" s="14">
        <v>1</v>
      </c>
      <c r="H26" s="5">
        <v>40717</v>
      </c>
      <c r="I26" s="6" t="s">
        <v>342</v>
      </c>
    </row>
    <row r="27" spans="2:9" x14ac:dyDescent="0.25">
      <c r="B27" s="6">
        <f t="shared" si="1"/>
        <v>216</v>
      </c>
      <c r="C27" s="10">
        <v>1</v>
      </c>
      <c r="D27" s="5">
        <v>40761</v>
      </c>
      <c r="F27" s="6">
        <f t="shared" si="0"/>
        <v>211</v>
      </c>
      <c r="G27" s="14">
        <v>1</v>
      </c>
      <c r="H27" s="5">
        <v>40756</v>
      </c>
      <c r="I27" s="6" t="s">
        <v>342</v>
      </c>
    </row>
    <row r="28" spans="2:9" x14ac:dyDescent="0.25">
      <c r="B28" s="6">
        <f t="shared" si="1"/>
        <v>233</v>
      </c>
      <c r="C28" s="10">
        <v>1</v>
      </c>
      <c r="D28" s="5">
        <v>40778</v>
      </c>
      <c r="F28" s="6">
        <f t="shared" si="0"/>
        <v>233</v>
      </c>
      <c r="G28" s="14">
        <v>1</v>
      </c>
      <c r="H28" s="5">
        <v>40778</v>
      </c>
      <c r="I28" s="6" t="s">
        <v>342</v>
      </c>
    </row>
    <row r="29" spans="2:9" x14ac:dyDescent="0.25">
      <c r="B29" s="6">
        <f t="shared" si="1"/>
        <v>239</v>
      </c>
      <c r="C29" s="10">
        <v>1</v>
      </c>
      <c r="D29" s="5">
        <v>40784</v>
      </c>
      <c r="F29" s="6">
        <f t="shared" si="0"/>
        <v>295</v>
      </c>
      <c r="G29" s="14">
        <v>1</v>
      </c>
      <c r="H29" s="5">
        <v>40841</v>
      </c>
      <c r="I29" s="6" t="s">
        <v>342</v>
      </c>
    </row>
    <row r="30" spans="2:9" x14ac:dyDescent="0.25">
      <c r="B30" s="6">
        <f t="shared" si="1"/>
        <v>254</v>
      </c>
      <c r="C30" s="10">
        <v>1</v>
      </c>
      <c r="D30" s="5">
        <v>40800</v>
      </c>
      <c r="F30" s="6">
        <f t="shared" si="0"/>
        <v>296</v>
      </c>
      <c r="G30" s="14">
        <v>1</v>
      </c>
      <c r="H30" s="5">
        <v>40842</v>
      </c>
      <c r="I30" s="6" t="s">
        <v>342</v>
      </c>
    </row>
    <row r="31" spans="2:9" x14ac:dyDescent="0.25">
      <c r="B31" s="6">
        <f t="shared" si="1"/>
        <v>295</v>
      </c>
      <c r="C31" s="10">
        <v>1</v>
      </c>
      <c r="D31" s="5">
        <v>40841</v>
      </c>
      <c r="F31" s="6">
        <f t="shared" si="0"/>
        <v>297</v>
      </c>
      <c r="G31" s="14">
        <v>1</v>
      </c>
      <c r="H31" s="5">
        <v>40843</v>
      </c>
      <c r="I31" s="6" t="s">
        <v>342</v>
      </c>
    </row>
    <row r="32" spans="2:9" x14ac:dyDescent="0.25">
      <c r="B32" s="6">
        <f t="shared" si="1"/>
        <v>296</v>
      </c>
      <c r="C32" s="10">
        <v>1</v>
      </c>
      <c r="D32" s="5">
        <v>40842</v>
      </c>
      <c r="F32" s="6">
        <f t="shared" si="0"/>
        <v>332</v>
      </c>
      <c r="G32" s="14">
        <v>1</v>
      </c>
      <c r="H32" s="5">
        <v>40879</v>
      </c>
      <c r="I32" s="6" t="s">
        <v>342</v>
      </c>
    </row>
    <row r="33" spans="2:9" x14ac:dyDescent="0.25">
      <c r="B33" s="6">
        <f t="shared" si="1"/>
        <v>297</v>
      </c>
      <c r="C33" s="10">
        <v>1</v>
      </c>
      <c r="D33" s="5">
        <v>40843</v>
      </c>
      <c r="F33" s="6">
        <f t="shared" si="0"/>
        <v>112</v>
      </c>
      <c r="G33" s="14">
        <v>1</v>
      </c>
      <c r="H33" s="5">
        <v>40655</v>
      </c>
      <c r="I33" s="6" t="s">
        <v>385</v>
      </c>
    </row>
    <row r="34" spans="2:9" x14ac:dyDescent="0.25">
      <c r="B34" s="6">
        <f t="shared" si="1"/>
        <v>332</v>
      </c>
      <c r="C34" s="10">
        <v>1</v>
      </c>
      <c r="D34" s="5">
        <v>40879</v>
      </c>
      <c r="F34" s="6">
        <f t="shared" si="0"/>
        <v>215</v>
      </c>
      <c r="G34" s="14">
        <v>1</v>
      </c>
      <c r="H34" s="5">
        <v>40760</v>
      </c>
      <c r="I34" s="6" t="s">
        <v>370</v>
      </c>
    </row>
    <row r="35" spans="2:9" x14ac:dyDescent="0.25">
      <c r="B35" s="11"/>
      <c r="C35" s="12"/>
      <c r="D35" s="13"/>
      <c r="F35" s="6">
        <f t="shared" si="0"/>
        <v>239</v>
      </c>
      <c r="G35" s="14">
        <v>1</v>
      </c>
      <c r="H35" s="5">
        <v>40784</v>
      </c>
      <c r="I35" s="6" t="s">
        <v>370</v>
      </c>
    </row>
  </sheetData>
  <sheetProtection sheet="1" objects="1" scenarios="1"/>
  <sortState ref="F6:I35">
    <sortCondition ref="I6:I35"/>
  </sortState>
  <mergeCells count="2">
    <mergeCell ref="B2:D3"/>
    <mergeCell ref="F2:I3"/>
  </mergeCells>
  <pageMargins left="0.7" right="0.7" top="0.75" bottom="0.75" header="0.3" footer="0.3"/>
  <pageSetup paperSize="9" orientation="portrait" horizontalDpi="300" verticalDpi="0" copies="0"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sheetPr>
  <dimension ref="A1:H56"/>
  <sheetViews>
    <sheetView zoomScaleNormal="100" workbookViewId="0">
      <selection activeCell="E12" sqref="E12"/>
    </sheetView>
  </sheetViews>
  <sheetFormatPr defaultRowHeight="15" x14ac:dyDescent="0.25"/>
  <cols>
    <col min="1" max="1" width="16.7109375" style="16" customWidth="1"/>
    <col min="2" max="2" width="10.42578125" style="16" bestFit="1" customWidth="1"/>
    <col min="3" max="3" width="10.5703125" style="16" customWidth="1"/>
    <col min="4" max="4" width="12.85546875" style="16" bestFit="1" customWidth="1"/>
    <col min="5" max="5" width="11.7109375" style="16" bestFit="1" customWidth="1"/>
    <col min="6" max="6" width="80.7109375" style="16" customWidth="1"/>
    <col min="7" max="7" width="18.5703125" style="16" bestFit="1" customWidth="1"/>
    <col min="8" max="8" width="12.42578125" style="16" customWidth="1"/>
    <col min="9" max="9" width="11.28515625" style="16" bestFit="1" customWidth="1"/>
    <col min="10" max="10" width="9.140625" style="16"/>
    <col min="11" max="11" width="10.28515625" style="16" customWidth="1"/>
    <col min="12" max="16384" width="9.140625" style="16"/>
  </cols>
  <sheetData>
    <row r="1" spans="1:8" ht="21" x14ac:dyDescent="0.35">
      <c r="A1" s="15" t="s">
        <v>166</v>
      </c>
    </row>
    <row r="3" spans="1:8" x14ac:dyDescent="0.25">
      <c r="A3" s="17" t="s">
        <v>175</v>
      </c>
      <c r="B3" s="17" t="s">
        <v>165</v>
      </c>
      <c r="C3" s="17" t="s">
        <v>5</v>
      </c>
      <c r="D3" s="17" t="s">
        <v>2</v>
      </c>
      <c r="E3" s="17" t="s">
        <v>0</v>
      </c>
      <c r="F3" s="17" t="s">
        <v>1</v>
      </c>
      <c r="G3" s="17" t="s">
        <v>188</v>
      </c>
      <c r="H3" s="17" t="s">
        <v>218</v>
      </c>
    </row>
    <row r="4" spans="1:8" x14ac:dyDescent="0.25">
      <c r="A4" s="16" t="s">
        <v>176</v>
      </c>
      <c r="B4" s="18">
        <v>42004</v>
      </c>
      <c r="G4" s="16" t="s">
        <v>187</v>
      </c>
    </row>
    <row r="5" spans="1:8" x14ac:dyDescent="0.25">
      <c r="B5" s="18"/>
    </row>
    <row r="6" spans="1:8" s="28" customFormat="1" ht="30" x14ac:dyDescent="0.25">
      <c r="A6" s="26">
        <v>5</v>
      </c>
      <c r="B6" s="26">
        <f t="shared" ref="B6:B26" si="0">DAYS360($B$4,C6)</f>
        <v>5</v>
      </c>
      <c r="C6" s="27">
        <v>42009</v>
      </c>
      <c r="D6" s="28" t="s">
        <v>333</v>
      </c>
      <c r="E6" s="28" t="s">
        <v>353</v>
      </c>
      <c r="F6" s="25" t="s">
        <v>3</v>
      </c>
      <c r="G6" s="28">
        <v>60</v>
      </c>
      <c r="H6" s="28" t="s">
        <v>219</v>
      </c>
    </row>
    <row r="7" spans="1:8" s="28" customFormat="1" ht="30" x14ac:dyDescent="0.25">
      <c r="A7" s="26">
        <f t="shared" ref="A7:A26" si="1">B7-B6</f>
        <v>0</v>
      </c>
      <c r="B7" s="26">
        <f t="shared" si="0"/>
        <v>5</v>
      </c>
      <c r="C7" s="27">
        <v>42009</v>
      </c>
      <c r="D7" s="28" t="s">
        <v>333</v>
      </c>
      <c r="E7" s="28" t="s">
        <v>359</v>
      </c>
      <c r="F7" s="25" t="s">
        <v>4</v>
      </c>
      <c r="G7" s="28">
        <v>60</v>
      </c>
      <c r="H7" s="28" t="s">
        <v>219</v>
      </c>
    </row>
    <row r="8" spans="1:8" s="28" customFormat="1" x14ac:dyDescent="0.25">
      <c r="A8" s="26">
        <f t="shared" si="1"/>
        <v>23</v>
      </c>
      <c r="B8" s="26">
        <f t="shared" si="0"/>
        <v>28</v>
      </c>
      <c r="C8" s="27">
        <v>42032</v>
      </c>
      <c r="D8" s="28" t="s">
        <v>406</v>
      </c>
      <c r="E8" s="28" t="s">
        <v>6</v>
      </c>
      <c r="F8" s="28" t="s">
        <v>7</v>
      </c>
      <c r="G8" s="28">
        <v>15</v>
      </c>
      <c r="H8" s="28" t="s">
        <v>220</v>
      </c>
    </row>
    <row r="9" spans="1:8" s="28" customFormat="1" ht="30" x14ac:dyDescent="0.25">
      <c r="A9" s="26">
        <f t="shared" si="1"/>
        <v>0</v>
      </c>
      <c r="B9" s="26">
        <f t="shared" si="0"/>
        <v>28</v>
      </c>
      <c r="C9" s="27">
        <v>42032</v>
      </c>
      <c r="D9" s="28" t="s">
        <v>342</v>
      </c>
      <c r="E9" s="28" t="s">
        <v>6</v>
      </c>
      <c r="F9" s="28" t="s">
        <v>8</v>
      </c>
      <c r="G9" s="28">
        <v>20</v>
      </c>
      <c r="H9" s="28" t="s">
        <v>220</v>
      </c>
    </row>
    <row r="10" spans="1:8" s="28" customFormat="1" ht="30" x14ac:dyDescent="0.25">
      <c r="A10" s="26">
        <f t="shared" si="1"/>
        <v>12</v>
      </c>
      <c r="B10" s="26">
        <f t="shared" si="0"/>
        <v>40</v>
      </c>
      <c r="C10" s="27">
        <v>42045</v>
      </c>
      <c r="D10" s="28" t="s">
        <v>370</v>
      </c>
      <c r="E10" s="28" t="s">
        <v>374</v>
      </c>
      <c r="F10" s="28" t="s">
        <v>9</v>
      </c>
      <c r="G10" s="28">
        <v>45</v>
      </c>
      <c r="H10" s="28" t="s">
        <v>219</v>
      </c>
    </row>
    <row r="11" spans="1:8" s="28" customFormat="1" ht="30" x14ac:dyDescent="0.25">
      <c r="A11" s="26">
        <f t="shared" si="1"/>
        <v>25</v>
      </c>
      <c r="B11" s="26">
        <f t="shared" si="0"/>
        <v>65</v>
      </c>
      <c r="C11" s="27">
        <v>42068</v>
      </c>
      <c r="D11" s="28" t="s">
        <v>342</v>
      </c>
      <c r="E11" s="28" t="s">
        <v>6</v>
      </c>
      <c r="F11" s="28" t="s">
        <v>10</v>
      </c>
      <c r="G11" s="28">
        <v>50</v>
      </c>
      <c r="H11" s="28" t="s">
        <v>219</v>
      </c>
    </row>
    <row r="12" spans="1:8" s="28" customFormat="1" ht="30" x14ac:dyDescent="0.25">
      <c r="A12" s="26">
        <f t="shared" si="1"/>
        <v>15</v>
      </c>
      <c r="B12" s="26">
        <f t="shared" si="0"/>
        <v>80</v>
      </c>
      <c r="C12" s="27">
        <v>42083</v>
      </c>
      <c r="D12" s="28" t="s">
        <v>333</v>
      </c>
      <c r="E12" s="28" t="s">
        <v>353</v>
      </c>
      <c r="F12" s="25" t="s">
        <v>412</v>
      </c>
      <c r="G12" s="28">
        <v>90</v>
      </c>
      <c r="H12" s="28" t="s">
        <v>219</v>
      </c>
    </row>
    <row r="13" spans="1:8" s="28" customFormat="1" ht="45" x14ac:dyDescent="0.25">
      <c r="A13" s="26">
        <f t="shared" si="1"/>
        <v>10</v>
      </c>
      <c r="B13" s="26">
        <f t="shared" si="0"/>
        <v>90</v>
      </c>
      <c r="C13" s="27">
        <v>42093</v>
      </c>
      <c r="D13" s="28" t="s">
        <v>342</v>
      </c>
      <c r="E13" s="28" t="s">
        <v>353</v>
      </c>
      <c r="F13" s="25" t="s">
        <v>11</v>
      </c>
      <c r="G13" s="28">
        <v>20</v>
      </c>
      <c r="H13" s="28" t="s">
        <v>219</v>
      </c>
    </row>
    <row r="14" spans="1:8" s="28" customFormat="1" ht="45" x14ac:dyDescent="0.25">
      <c r="A14" s="26">
        <f t="shared" si="1"/>
        <v>34</v>
      </c>
      <c r="B14" s="26">
        <f t="shared" si="0"/>
        <v>124</v>
      </c>
      <c r="C14" s="27">
        <v>42128</v>
      </c>
      <c r="D14" s="28" t="s">
        <v>370</v>
      </c>
      <c r="E14" s="28" t="s">
        <v>382</v>
      </c>
      <c r="F14" s="28" t="s">
        <v>13</v>
      </c>
      <c r="G14" s="28">
        <v>360</v>
      </c>
      <c r="H14" s="28" t="s">
        <v>219</v>
      </c>
    </row>
    <row r="15" spans="1:8" s="28" customFormat="1" ht="90" x14ac:dyDescent="0.25">
      <c r="A15" s="26">
        <f t="shared" si="1"/>
        <v>35</v>
      </c>
      <c r="B15" s="26">
        <f t="shared" si="0"/>
        <v>159</v>
      </c>
      <c r="C15" s="27">
        <v>42164</v>
      </c>
      <c r="D15" s="28" t="s">
        <v>406</v>
      </c>
      <c r="E15" s="28" t="s">
        <v>6</v>
      </c>
      <c r="F15" s="28" t="s">
        <v>360</v>
      </c>
      <c r="G15" s="28">
        <v>150</v>
      </c>
      <c r="H15" s="28" t="s">
        <v>220</v>
      </c>
    </row>
    <row r="16" spans="1:8" s="28" customFormat="1" ht="30" x14ac:dyDescent="0.25">
      <c r="A16" s="26">
        <f t="shared" si="1"/>
        <v>35</v>
      </c>
      <c r="B16" s="26">
        <f t="shared" si="0"/>
        <v>194</v>
      </c>
      <c r="C16" s="27">
        <v>42199</v>
      </c>
      <c r="D16" s="28" t="s">
        <v>333</v>
      </c>
      <c r="E16" s="28" t="s">
        <v>369</v>
      </c>
      <c r="F16" s="28" t="s">
        <v>20</v>
      </c>
      <c r="G16" s="28">
        <v>480</v>
      </c>
      <c r="H16" s="28" t="s">
        <v>220</v>
      </c>
    </row>
    <row r="17" spans="1:8" s="28" customFormat="1" ht="30" x14ac:dyDescent="0.25">
      <c r="A17" s="26">
        <f t="shared" si="1"/>
        <v>5</v>
      </c>
      <c r="B17" s="26">
        <f t="shared" si="0"/>
        <v>199</v>
      </c>
      <c r="C17" s="27">
        <v>42204</v>
      </c>
      <c r="D17" s="28" t="s">
        <v>342</v>
      </c>
      <c r="E17" s="28" t="s">
        <v>6</v>
      </c>
      <c r="F17" s="28" t="s">
        <v>21</v>
      </c>
      <c r="G17" s="28">
        <v>120</v>
      </c>
      <c r="H17" s="28" t="s">
        <v>220</v>
      </c>
    </row>
    <row r="18" spans="1:8" s="28" customFormat="1" ht="45" x14ac:dyDescent="0.25">
      <c r="A18" s="26">
        <f t="shared" si="1"/>
        <v>11</v>
      </c>
      <c r="B18" s="26">
        <f t="shared" si="0"/>
        <v>210</v>
      </c>
      <c r="C18" s="27">
        <v>42215</v>
      </c>
      <c r="D18" s="28" t="s">
        <v>333</v>
      </c>
      <c r="E18" s="28" t="s">
        <v>353</v>
      </c>
      <c r="F18" s="28" t="s">
        <v>22</v>
      </c>
      <c r="G18" s="28">
        <v>120</v>
      </c>
      <c r="H18" s="28" t="s">
        <v>219</v>
      </c>
    </row>
    <row r="19" spans="1:8" s="28" customFormat="1" ht="45" x14ac:dyDescent="0.25">
      <c r="A19" s="26">
        <f t="shared" si="1"/>
        <v>4</v>
      </c>
      <c r="B19" s="26">
        <f t="shared" si="0"/>
        <v>214</v>
      </c>
      <c r="C19" s="27">
        <v>42220</v>
      </c>
      <c r="D19" s="28" t="s">
        <v>342</v>
      </c>
      <c r="E19" s="28" t="s">
        <v>6</v>
      </c>
      <c r="F19" s="25" t="s">
        <v>12</v>
      </c>
      <c r="G19" s="28">
        <v>30</v>
      </c>
      <c r="H19" s="28" t="s">
        <v>219</v>
      </c>
    </row>
    <row r="20" spans="1:8" s="28" customFormat="1" ht="45" x14ac:dyDescent="0.25">
      <c r="A20" s="26">
        <f t="shared" si="1"/>
        <v>0</v>
      </c>
      <c r="B20" s="26">
        <f t="shared" si="0"/>
        <v>214</v>
      </c>
      <c r="C20" s="27">
        <v>42220</v>
      </c>
      <c r="D20" s="28" t="s">
        <v>370</v>
      </c>
      <c r="E20" s="28" t="s">
        <v>374</v>
      </c>
      <c r="F20" s="28" t="s">
        <v>14</v>
      </c>
      <c r="G20" s="28">
        <f>21*60</f>
        <v>1260</v>
      </c>
      <c r="H20" s="28" t="s">
        <v>219</v>
      </c>
    </row>
    <row r="21" spans="1:8" s="28" customFormat="1" ht="30" x14ac:dyDescent="0.25">
      <c r="A21" s="26">
        <f t="shared" si="1"/>
        <v>26</v>
      </c>
      <c r="B21" s="26">
        <f t="shared" si="0"/>
        <v>240</v>
      </c>
      <c r="C21" s="27">
        <v>42247</v>
      </c>
      <c r="D21" s="28" t="s">
        <v>333</v>
      </c>
      <c r="E21" s="28" t="s">
        <v>353</v>
      </c>
      <c r="F21" s="25" t="s">
        <v>15</v>
      </c>
      <c r="G21" s="28">
        <v>45</v>
      </c>
      <c r="H21" s="28" t="s">
        <v>220</v>
      </c>
    </row>
    <row r="22" spans="1:8" s="28" customFormat="1" ht="45" x14ac:dyDescent="0.25">
      <c r="A22" s="26">
        <f t="shared" si="1"/>
        <v>0</v>
      </c>
      <c r="B22" s="26">
        <f t="shared" si="0"/>
        <v>240</v>
      </c>
      <c r="C22" s="27">
        <v>42247</v>
      </c>
      <c r="D22" s="28" t="s">
        <v>406</v>
      </c>
      <c r="E22" s="28" t="s">
        <v>6</v>
      </c>
      <c r="F22" s="25" t="s">
        <v>16</v>
      </c>
      <c r="G22" s="28">
        <v>120</v>
      </c>
      <c r="H22" s="28" t="s">
        <v>220</v>
      </c>
    </row>
    <row r="23" spans="1:8" s="28" customFormat="1" ht="30" x14ac:dyDescent="0.25">
      <c r="A23" s="26">
        <f t="shared" si="1"/>
        <v>0</v>
      </c>
      <c r="B23" s="26">
        <f t="shared" si="0"/>
        <v>240</v>
      </c>
      <c r="C23" s="27">
        <v>42247</v>
      </c>
      <c r="D23" s="28" t="s">
        <v>385</v>
      </c>
      <c r="E23" s="28" t="s">
        <v>397</v>
      </c>
      <c r="F23" s="28" t="s">
        <v>17</v>
      </c>
      <c r="G23" s="28">
        <f>5*24*60</f>
        <v>7200</v>
      </c>
      <c r="H23" s="28" t="s">
        <v>219</v>
      </c>
    </row>
    <row r="24" spans="1:8" s="28" customFormat="1" ht="45" x14ac:dyDescent="0.25">
      <c r="A24" s="26">
        <f t="shared" si="1"/>
        <v>79</v>
      </c>
      <c r="B24" s="26">
        <f t="shared" si="0"/>
        <v>319</v>
      </c>
      <c r="C24" s="27">
        <v>42327</v>
      </c>
      <c r="D24" s="28" t="s">
        <v>370</v>
      </c>
      <c r="E24" s="28" t="s">
        <v>376</v>
      </c>
      <c r="F24" s="28" t="s">
        <v>18</v>
      </c>
      <c r="G24" s="28">
        <f>5*25*60</f>
        <v>7500</v>
      </c>
      <c r="H24" s="28" t="s">
        <v>219</v>
      </c>
    </row>
    <row r="25" spans="1:8" s="28" customFormat="1" ht="45" x14ac:dyDescent="0.25">
      <c r="A25" s="26">
        <f t="shared" si="1"/>
        <v>4</v>
      </c>
      <c r="B25" s="26">
        <f t="shared" si="0"/>
        <v>323</v>
      </c>
      <c r="C25" s="27">
        <v>42331</v>
      </c>
      <c r="D25" s="28" t="s">
        <v>342</v>
      </c>
      <c r="E25" s="28" t="s">
        <v>6</v>
      </c>
      <c r="F25" s="25" t="s">
        <v>361</v>
      </c>
      <c r="G25" s="28">
        <v>120</v>
      </c>
      <c r="H25" s="28" t="s">
        <v>219</v>
      </c>
    </row>
    <row r="26" spans="1:8" s="28" customFormat="1" ht="30" x14ac:dyDescent="0.25">
      <c r="A26" s="26">
        <f t="shared" si="1"/>
        <v>10</v>
      </c>
      <c r="B26" s="26">
        <f t="shared" si="0"/>
        <v>333</v>
      </c>
      <c r="C26" s="27">
        <v>42341</v>
      </c>
      <c r="D26" s="28" t="s">
        <v>370</v>
      </c>
      <c r="E26" s="28" t="s">
        <v>376</v>
      </c>
      <c r="F26" s="28" t="s">
        <v>19</v>
      </c>
      <c r="G26" s="28">
        <v>180</v>
      </c>
      <c r="H26" s="28" t="s">
        <v>219</v>
      </c>
    </row>
    <row r="27" spans="1:8" x14ac:dyDescent="0.25">
      <c r="B27" s="20"/>
    </row>
    <row r="28" spans="1:8" x14ac:dyDescent="0.25">
      <c r="A28" s="21" t="s">
        <v>183</v>
      </c>
    </row>
    <row r="29" spans="1:8" x14ac:dyDescent="0.25">
      <c r="A29" s="16" t="s">
        <v>217</v>
      </c>
    </row>
    <row r="53" spans="2:6" x14ac:dyDescent="0.25">
      <c r="B53" s="20"/>
    </row>
    <row r="54" spans="2:6" ht="21" x14ac:dyDescent="0.35">
      <c r="B54" s="15"/>
    </row>
    <row r="56" spans="2:6" x14ac:dyDescent="0.25">
      <c r="E56" s="17"/>
      <c r="F56" s="17"/>
    </row>
  </sheetData>
  <sheetProtection sheet="1" formatCells="0" formatColumns="0" formatRows="0" insertColumns="0" insertRows="0" insertHyperlinks="0" deleteColumns="0" deleteRows="0" sort="0" autoFilter="0" pivotTables="0"/>
  <pageMargins left="0.7" right="0.7" top="0.75" bottom="0.75" header="0.3" footer="0.3"/>
  <pageSetup paperSize="9" orientation="portrait" horizontalDpi="300" r:id="rId1"/>
  <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7030A0"/>
  </sheetPr>
  <dimension ref="B2:AG57"/>
  <sheetViews>
    <sheetView zoomScale="85" zoomScaleNormal="85" workbookViewId="0">
      <selection activeCell="AH3" sqref="AH3"/>
    </sheetView>
  </sheetViews>
  <sheetFormatPr defaultRowHeight="15" x14ac:dyDescent="0.25"/>
  <cols>
    <col min="1" max="1" width="3" customWidth="1"/>
    <col min="2" max="2" width="10.42578125" bestFit="1" customWidth="1"/>
    <col min="3" max="3" width="12" bestFit="1" customWidth="1"/>
    <col min="4" max="4" width="10.42578125" bestFit="1" customWidth="1"/>
    <col min="5" max="5" width="20" bestFit="1" customWidth="1"/>
    <col min="7" max="7" width="10.85546875" bestFit="1" customWidth="1"/>
    <col min="8" max="8" width="14.85546875" bestFit="1" customWidth="1"/>
    <col min="9" max="9" width="12" bestFit="1" customWidth="1"/>
    <col min="10" max="10" width="10.7109375" bestFit="1" customWidth="1"/>
    <col min="11" max="11" width="10.7109375" customWidth="1"/>
    <col min="12" max="12" width="12.28515625" bestFit="1" customWidth="1"/>
    <col min="13" max="13" width="13.7109375" bestFit="1" customWidth="1"/>
    <col min="14" max="16" width="10.7109375" customWidth="1"/>
    <col min="17" max="17" width="14" bestFit="1" customWidth="1"/>
    <col min="19" max="20" width="10.42578125" bestFit="1" customWidth="1"/>
    <col min="21" max="21" width="20" bestFit="1" customWidth="1"/>
    <col min="23" max="23" width="10.85546875" bestFit="1" customWidth="1"/>
    <col min="24" max="24" width="14.85546875" bestFit="1" customWidth="1"/>
    <col min="25" max="25" width="12" bestFit="1" customWidth="1"/>
    <col min="26" max="26" width="11.42578125" bestFit="1" customWidth="1"/>
    <col min="27" max="27" width="11.42578125" customWidth="1"/>
    <col min="28" max="28" width="12.28515625" bestFit="1" customWidth="1"/>
    <col min="29" max="29" width="13.7109375" bestFit="1" customWidth="1"/>
    <col min="30" max="32" width="11.42578125" customWidth="1"/>
    <col min="33" max="33" width="14" bestFit="1" customWidth="1"/>
  </cols>
  <sheetData>
    <row r="2" spans="2:33" ht="15" customHeight="1" x14ac:dyDescent="0.25">
      <c r="B2" s="124" t="s">
        <v>242</v>
      </c>
      <c r="C2" s="125"/>
      <c r="D2" s="125"/>
      <c r="E2" s="125"/>
      <c r="F2" s="125"/>
      <c r="G2" s="125"/>
      <c r="H2" s="125"/>
      <c r="I2" s="125"/>
      <c r="J2" s="125"/>
      <c r="K2" s="125"/>
      <c r="L2" s="125"/>
      <c r="M2" s="125"/>
      <c r="N2" s="125"/>
      <c r="O2" s="125"/>
      <c r="P2" s="125"/>
      <c r="Q2" s="126"/>
      <c r="S2" s="124" t="s">
        <v>246</v>
      </c>
      <c r="T2" s="125"/>
      <c r="U2" s="125"/>
      <c r="V2" s="125"/>
      <c r="W2" s="125"/>
      <c r="X2" s="125"/>
      <c r="Y2" s="125"/>
      <c r="Z2" s="125"/>
      <c r="AA2" s="125"/>
      <c r="AB2" s="125"/>
      <c r="AC2" s="125"/>
      <c r="AD2" s="125"/>
      <c r="AE2" s="125"/>
      <c r="AF2" s="125"/>
      <c r="AG2" s="126"/>
    </row>
    <row r="3" spans="2:33" x14ac:dyDescent="0.25">
      <c r="B3" s="127"/>
      <c r="C3" s="128"/>
      <c r="D3" s="128"/>
      <c r="E3" s="128"/>
      <c r="F3" s="128"/>
      <c r="G3" s="128"/>
      <c r="H3" s="128"/>
      <c r="I3" s="128"/>
      <c r="J3" s="128"/>
      <c r="K3" s="128"/>
      <c r="L3" s="128"/>
      <c r="M3" s="128"/>
      <c r="N3" s="128"/>
      <c r="O3" s="128"/>
      <c r="P3" s="128"/>
      <c r="Q3" s="129"/>
      <c r="S3" s="127"/>
      <c r="T3" s="128"/>
      <c r="U3" s="128"/>
      <c r="V3" s="128"/>
      <c r="W3" s="128"/>
      <c r="X3" s="128"/>
      <c r="Y3" s="128"/>
      <c r="Z3" s="128"/>
      <c r="AA3" s="128"/>
      <c r="AB3" s="128"/>
      <c r="AC3" s="128"/>
      <c r="AD3" s="128"/>
      <c r="AE3" s="128"/>
      <c r="AF3" s="128"/>
      <c r="AG3" s="129"/>
    </row>
    <row r="4" spans="2:33" x14ac:dyDescent="0.25">
      <c r="B4" s="7" t="s">
        <v>165</v>
      </c>
      <c r="C4" s="7" t="s">
        <v>168</v>
      </c>
      <c r="D4" s="7" t="s">
        <v>5</v>
      </c>
      <c r="E4" s="7" t="s">
        <v>2</v>
      </c>
      <c r="F4" s="7" t="s">
        <v>185</v>
      </c>
      <c r="G4" s="7" t="s">
        <v>191</v>
      </c>
      <c r="H4" s="7" t="s">
        <v>192</v>
      </c>
      <c r="I4" s="7" t="s">
        <v>194</v>
      </c>
      <c r="J4" s="7" t="s">
        <v>194</v>
      </c>
      <c r="K4" s="7" t="s">
        <v>223</v>
      </c>
      <c r="L4" s="7" t="s">
        <v>238</v>
      </c>
      <c r="M4" s="7" t="s">
        <v>236</v>
      </c>
      <c r="N4" s="41" t="s">
        <v>208</v>
      </c>
      <c r="O4" s="41" t="s">
        <v>230</v>
      </c>
      <c r="P4" s="41" t="s">
        <v>231</v>
      </c>
      <c r="Q4" s="41" t="s">
        <v>211</v>
      </c>
      <c r="S4" s="7" t="s">
        <v>165</v>
      </c>
      <c r="T4" s="7" t="s">
        <v>5</v>
      </c>
      <c r="U4" s="7" t="s">
        <v>197</v>
      </c>
      <c r="V4" s="7" t="s">
        <v>185</v>
      </c>
      <c r="W4" s="7" t="s">
        <v>191</v>
      </c>
      <c r="X4" s="7" t="s">
        <v>192</v>
      </c>
      <c r="Y4" s="7" t="s">
        <v>198</v>
      </c>
      <c r="Z4" s="7" t="s">
        <v>198</v>
      </c>
      <c r="AA4" s="7" t="s">
        <v>224</v>
      </c>
      <c r="AB4" s="7" t="s">
        <v>238</v>
      </c>
      <c r="AC4" s="7" t="s">
        <v>236</v>
      </c>
      <c r="AD4" s="41" t="s">
        <v>208</v>
      </c>
      <c r="AE4" s="41" t="s">
        <v>230</v>
      </c>
      <c r="AF4" s="41" t="s">
        <v>231</v>
      </c>
      <c r="AG4" s="41" t="s">
        <v>211</v>
      </c>
    </row>
    <row r="5" spans="2:33" x14ac:dyDescent="0.25">
      <c r="B5" s="8">
        <v>40543</v>
      </c>
      <c r="C5" s="8"/>
      <c r="D5" s="9"/>
      <c r="E5" s="9"/>
      <c r="F5" s="9" t="s">
        <v>187</v>
      </c>
      <c r="G5" s="9"/>
      <c r="H5" s="9" t="s">
        <v>187</v>
      </c>
      <c r="I5" s="9" t="s">
        <v>187</v>
      </c>
      <c r="J5" s="9" t="s">
        <v>199</v>
      </c>
      <c r="K5" s="9" t="s">
        <v>187</v>
      </c>
      <c r="L5" s="9" t="s">
        <v>237</v>
      </c>
      <c r="M5" s="9" t="s">
        <v>237</v>
      </c>
      <c r="N5" s="42" t="s">
        <v>233</v>
      </c>
      <c r="O5" s="42" t="s">
        <v>233</v>
      </c>
      <c r="P5" s="42" t="s">
        <v>233</v>
      </c>
      <c r="Q5" s="42" t="s">
        <v>233</v>
      </c>
      <c r="S5" s="8">
        <v>41639</v>
      </c>
      <c r="T5" s="9"/>
      <c r="U5" s="9"/>
      <c r="V5" s="9" t="s">
        <v>187</v>
      </c>
      <c r="W5" s="9"/>
      <c r="X5" s="9" t="s">
        <v>187</v>
      </c>
      <c r="Y5" s="9" t="s">
        <v>187</v>
      </c>
      <c r="Z5" s="9" t="s">
        <v>199</v>
      </c>
      <c r="AA5" s="9" t="s">
        <v>187</v>
      </c>
      <c r="AB5" s="9" t="s">
        <v>237</v>
      </c>
      <c r="AC5" s="9" t="s">
        <v>237</v>
      </c>
      <c r="AD5" s="42" t="s">
        <v>233</v>
      </c>
      <c r="AE5" s="42" t="s">
        <v>233</v>
      </c>
      <c r="AF5" s="42" t="s">
        <v>233</v>
      </c>
      <c r="AG5" s="42" t="s">
        <v>233</v>
      </c>
    </row>
    <row r="6" spans="2:33" x14ac:dyDescent="0.25">
      <c r="B6" s="6">
        <f t="shared" ref="B6:B35" si="0">DAYS360($B$5,D6)</f>
        <v>40</v>
      </c>
      <c r="C6" s="14">
        <v>1</v>
      </c>
      <c r="D6" s="5">
        <v>40584</v>
      </c>
      <c r="E6" s="6" t="s">
        <v>405</v>
      </c>
      <c r="F6" s="33">
        <v>180</v>
      </c>
      <c r="G6" s="31"/>
      <c r="H6" s="31"/>
      <c r="I6" s="31"/>
      <c r="J6" s="31"/>
      <c r="K6" s="31"/>
      <c r="L6" s="6">
        <f>F6-$F$36</f>
        <v>-695</v>
      </c>
      <c r="M6" s="6">
        <f>SQRT((L6*L6)/COUNT($B$6:$B$35))</f>
        <v>126.88905915536348</v>
      </c>
      <c r="N6" s="31"/>
      <c r="O6" s="31"/>
      <c r="P6" s="31"/>
      <c r="Q6" s="31"/>
      <c r="S6" s="6">
        <f t="shared" ref="S6:S7" si="1">DAYS360($B$5,T6)</f>
        <v>40</v>
      </c>
      <c r="T6" s="5">
        <v>40584</v>
      </c>
      <c r="U6" s="6" t="s">
        <v>405</v>
      </c>
      <c r="V6" s="33">
        <v>180</v>
      </c>
      <c r="W6" s="31"/>
      <c r="X6" s="31"/>
      <c r="Y6" s="31"/>
      <c r="Z6" s="31"/>
      <c r="AA6" s="31"/>
      <c r="AB6" s="31"/>
      <c r="AC6" s="31"/>
      <c r="AD6" s="31"/>
      <c r="AE6" s="31"/>
      <c r="AF6" s="31"/>
      <c r="AG6" s="31"/>
    </row>
    <row r="7" spans="2:33" x14ac:dyDescent="0.25">
      <c r="B7" s="6">
        <f t="shared" si="0"/>
        <v>254</v>
      </c>
      <c r="C7" s="14">
        <v>1</v>
      </c>
      <c r="D7" s="5">
        <v>40800</v>
      </c>
      <c r="E7" s="6" t="s">
        <v>405</v>
      </c>
      <c r="F7" s="33">
        <v>240</v>
      </c>
      <c r="G7" s="6">
        <f>COUNT(F6:F7)</f>
        <v>2</v>
      </c>
      <c r="H7" s="6">
        <f>SUM(F6:F7)</f>
        <v>420</v>
      </c>
      <c r="I7" s="6">
        <f>(518400-H7)/G7</f>
        <v>258990</v>
      </c>
      <c r="J7" s="6">
        <f>INT(I7/60/24)</f>
        <v>179</v>
      </c>
      <c r="K7" s="6">
        <f>H7/G7</f>
        <v>210</v>
      </c>
      <c r="L7" s="6">
        <f t="shared" ref="L7:L35" si="2">F7-$F$36</f>
        <v>-635</v>
      </c>
      <c r="M7" s="6">
        <f t="shared" ref="M7:M35" si="3">SQRT((L7*L7)/COUNT($B$6:$B$35))</f>
        <v>115.93460800526016</v>
      </c>
      <c r="N7" s="6">
        <f>G7/365</f>
        <v>5.4794520547945206E-3</v>
      </c>
      <c r="O7" s="6">
        <f>N7*EXP(-N7*365)</f>
        <v>7.4156319581705592E-4</v>
      </c>
      <c r="P7" s="6">
        <f>1-EXP(-N7*365)</f>
        <v>0.8646647167633873</v>
      </c>
      <c r="Q7" s="6">
        <f>EXP(-N7*365)</f>
        <v>0.1353352832366127</v>
      </c>
      <c r="S7" s="6">
        <f t="shared" si="1"/>
        <v>254</v>
      </c>
      <c r="T7" s="5">
        <v>40800</v>
      </c>
      <c r="U7" s="6" t="s">
        <v>405</v>
      </c>
      <c r="V7" s="33">
        <v>240</v>
      </c>
      <c r="W7" s="6">
        <f>COUNT(V6:V7)</f>
        <v>2</v>
      </c>
      <c r="X7" s="6">
        <f>SUM(V6:V7)</f>
        <v>420</v>
      </c>
      <c r="Y7" s="6">
        <f>(518400-X7)/W7</f>
        <v>258990</v>
      </c>
      <c r="Z7" s="6">
        <f>INT(Y7/60/24)</f>
        <v>179</v>
      </c>
      <c r="AA7" s="6">
        <f>X7/W7</f>
        <v>210</v>
      </c>
      <c r="AB7" s="6">
        <f>X7-V8</f>
        <v>180</v>
      </c>
      <c r="AC7" s="33">
        <f>SQRT((AB7*AB7)/COUNT(S6:S7))</f>
        <v>127.27922061357856</v>
      </c>
      <c r="AD7" s="6">
        <f>W7/365</f>
        <v>5.4794520547945206E-3</v>
      </c>
      <c r="AE7" s="6">
        <f>AD7*EXP(-AD7*365)</f>
        <v>7.4156319581705592E-4</v>
      </c>
      <c r="AF7" s="6">
        <f>1-EXP(-AD7*365)</f>
        <v>0.8646647167633873</v>
      </c>
      <c r="AG7" s="6">
        <f>EXP(-AD7*365)</f>
        <v>0.1353352832366127</v>
      </c>
    </row>
    <row r="8" spans="2:33" x14ac:dyDescent="0.25">
      <c r="B8" s="6">
        <f t="shared" si="0"/>
        <v>137</v>
      </c>
      <c r="C8" s="14">
        <v>1</v>
      </c>
      <c r="D8" s="5">
        <v>40680</v>
      </c>
      <c r="E8" s="6" t="s">
        <v>406</v>
      </c>
      <c r="F8" s="33">
        <v>120</v>
      </c>
      <c r="G8" s="6">
        <f>COUNT(F8:F8)</f>
        <v>1</v>
      </c>
      <c r="H8" s="6">
        <f>SUM(F8:F8)</f>
        <v>120</v>
      </c>
      <c r="I8" s="6">
        <f>(518400-H8)/G8</f>
        <v>518280</v>
      </c>
      <c r="J8" s="6">
        <f>INT(I8/60/24)</f>
        <v>359</v>
      </c>
      <c r="K8" s="6">
        <f>H8/G8</f>
        <v>120</v>
      </c>
      <c r="L8" s="6">
        <f t="shared" si="2"/>
        <v>-755</v>
      </c>
      <c r="M8" s="6">
        <f t="shared" si="3"/>
        <v>137.84351030546679</v>
      </c>
      <c r="N8" s="6">
        <f>G8/365</f>
        <v>2.7397260273972603E-3</v>
      </c>
      <c r="O8" s="6">
        <f>N8*EXP(-N8*365)</f>
        <v>1.0078888799217598E-3</v>
      </c>
      <c r="P8" s="6">
        <f>1-EXP(-N8*365)</f>
        <v>0.63212055882855767</v>
      </c>
      <c r="Q8" s="6">
        <f>EXP(-N8*365)</f>
        <v>0.36787944117144233</v>
      </c>
      <c r="S8" s="31"/>
      <c r="T8" s="31"/>
      <c r="U8" s="43" t="s">
        <v>235</v>
      </c>
      <c r="V8" s="6">
        <f>AVERAGE(V7)</f>
        <v>240</v>
      </c>
      <c r="W8" s="31"/>
      <c r="X8" s="31"/>
      <c r="Y8" s="31"/>
      <c r="Z8" s="31"/>
      <c r="AA8" s="31"/>
      <c r="AB8" s="31"/>
      <c r="AC8" s="31"/>
      <c r="AD8" s="31"/>
      <c r="AE8" s="31"/>
      <c r="AF8" s="31"/>
      <c r="AG8" s="31"/>
    </row>
    <row r="9" spans="2:33" x14ac:dyDescent="0.25">
      <c r="B9" s="6">
        <f t="shared" si="0"/>
        <v>18</v>
      </c>
      <c r="C9" s="14">
        <v>1</v>
      </c>
      <c r="D9" s="5">
        <v>40561</v>
      </c>
      <c r="E9" s="6" t="s">
        <v>326</v>
      </c>
      <c r="F9" s="30">
        <f>10*24*60</f>
        <v>14400</v>
      </c>
      <c r="G9" s="31"/>
      <c r="H9" s="31"/>
      <c r="I9" s="31"/>
      <c r="J9" s="31"/>
      <c r="K9" s="31"/>
      <c r="L9" s="6">
        <f t="shared" si="2"/>
        <v>13525</v>
      </c>
      <c r="M9" s="6">
        <f t="shared" si="3"/>
        <v>2469.3158634191236</v>
      </c>
      <c r="N9" s="31"/>
      <c r="O9" s="31"/>
      <c r="P9" s="31"/>
      <c r="Q9" s="31"/>
      <c r="S9" s="6">
        <f>DAYS360($B$5,T9)</f>
        <v>215</v>
      </c>
      <c r="T9" s="5">
        <v>40760</v>
      </c>
      <c r="U9" s="6" t="s">
        <v>381</v>
      </c>
      <c r="V9" s="33">
        <f>5*24*60</f>
        <v>7200</v>
      </c>
      <c r="W9" s="6">
        <f>COUNT(V9:V9)</f>
        <v>1</v>
      </c>
      <c r="X9" s="6">
        <f>SUM(V9:V9)</f>
        <v>7200</v>
      </c>
      <c r="Y9" s="6">
        <f t="shared" ref="Y9" si="4">(518400-X9)/W9</f>
        <v>511200</v>
      </c>
      <c r="Z9" s="6">
        <f>INT(Y9/60/24)</f>
        <v>355</v>
      </c>
      <c r="AA9" s="6">
        <f>X9/W9</f>
        <v>7200</v>
      </c>
      <c r="AB9" s="6">
        <f>X9-V10</f>
        <v>0</v>
      </c>
      <c r="AC9" s="33">
        <f>SQRT((AB9*AB9)/COUNT(S9))</f>
        <v>0</v>
      </c>
      <c r="AD9" s="6">
        <f>W9/365</f>
        <v>2.7397260273972603E-3</v>
      </c>
      <c r="AE9" s="6">
        <f>AD9*EXP(-AD9*365)</f>
        <v>1.0078888799217598E-3</v>
      </c>
      <c r="AF9" s="6">
        <f>1-EXP(-AD9*365)</f>
        <v>0.63212055882855767</v>
      </c>
      <c r="AG9" s="6">
        <f>EXP(-AD9*365)</f>
        <v>0.36787944117144233</v>
      </c>
    </row>
    <row r="10" spans="2:33" x14ac:dyDescent="0.25">
      <c r="B10" s="6">
        <f t="shared" si="0"/>
        <v>52</v>
      </c>
      <c r="C10" s="14">
        <v>1</v>
      </c>
      <c r="D10" s="5">
        <v>40596</v>
      </c>
      <c r="E10" s="6" t="s">
        <v>326</v>
      </c>
      <c r="F10" s="33">
        <v>30</v>
      </c>
      <c r="G10" s="6">
        <f>COUNT(F9:F10)</f>
        <v>2</v>
      </c>
      <c r="H10" s="6">
        <f>SUM(F9:F10)</f>
        <v>14430</v>
      </c>
      <c r="I10" s="6">
        <f>(518400-H10)/G10</f>
        <v>251985</v>
      </c>
      <c r="J10" s="6">
        <f>INT(I10/60/24)</f>
        <v>174</v>
      </c>
      <c r="K10" s="6">
        <f>H10/G10</f>
        <v>7215</v>
      </c>
      <c r="L10" s="6">
        <f t="shared" si="2"/>
        <v>-845</v>
      </c>
      <c r="M10" s="6">
        <f t="shared" si="3"/>
        <v>154.27518703062179</v>
      </c>
      <c r="N10" s="6">
        <f>G10/365</f>
        <v>5.4794520547945206E-3</v>
      </c>
      <c r="O10" s="6">
        <f>N10*EXP(-N10*365)</f>
        <v>7.4156319581705592E-4</v>
      </c>
      <c r="P10" s="6">
        <f>1-EXP(-N10*365)</f>
        <v>0.8646647167633873</v>
      </c>
      <c r="Q10" s="6">
        <f>EXP(-N10*365)</f>
        <v>0.1353352832366127</v>
      </c>
      <c r="S10" s="31"/>
      <c r="T10" s="31"/>
      <c r="U10" s="43" t="s">
        <v>235</v>
      </c>
      <c r="V10" s="6">
        <f>AVERAGE(V9)</f>
        <v>7200</v>
      </c>
      <c r="W10" s="31"/>
      <c r="X10" s="31"/>
      <c r="Y10" s="31"/>
      <c r="Z10" s="31"/>
      <c r="AA10" s="31"/>
      <c r="AB10" s="31"/>
      <c r="AC10" s="31"/>
      <c r="AD10" s="31"/>
      <c r="AE10" s="31"/>
      <c r="AF10" s="31"/>
      <c r="AG10" s="31"/>
    </row>
    <row r="11" spans="2:33" x14ac:dyDescent="0.25">
      <c r="B11" s="6">
        <f t="shared" si="0"/>
        <v>41</v>
      </c>
      <c r="C11" s="14">
        <v>1</v>
      </c>
      <c r="D11" s="5">
        <v>40585</v>
      </c>
      <c r="E11" s="6" t="s">
        <v>333</v>
      </c>
      <c r="F11" s="33">
        <v>360</v>
      </c>
      <c r="G11" s="31"/>
      <c r="H11" s="31"/>
      <c r="I11" s="31"/>
      <c r="J11" s="31"/>
      <c r="K11" s="31"/>
      <c r="L11" s="6">
        <f t="shared" si="2"/>
        <v>-515</v>
      </c>
      <c r="M11" s="6">
        <f t="shared" si="3"/>
        <v>94.025705705053525</v>
      </c>
      <c r="N11" s="31"/>
      <c r="O11" s="31"/>
      <c r="P11" s="31"/>
      <c r="Q11" s="31"/>
      <c r="S11" s="6">
        <f>DAYS360($B$5,T11)</f>
        <v>215</v>
      </c>
      <c r="T11" s="5">
        <v>40760</v>
      </c>
      <c r="U11" s="6" t="s">
        <v>383</v>
      </c>
      <c r="V11" s="33">
        <f>5*24*60</f>
        <v>7200</v>
      </c>
      <c r="W11" s="31"/>
      <c r="X11" s="31"/>
      <c r="Y11" s="31"/>
      <c r="Z11" s="31"/>
      <c r="AA11" s="31"/>
      <c r="AB11" s="31"/>
      <c r="AC11" s="31"/>
      <c r="AD11" s="31"/>
      <c r="AE11" s="31"/>
      <c r="AF11" s="31"/>
      <c r="AG11" s="31"/>
    </row>
    <row r="12" spans="2:33" x14ac:dyDescent="0.25">
      <c r="B12" s="6">
        <f t="shared" si="0"/>
        <v>42</v>
      </c>
      <c r="C12" s="14">
        <v>1</v>
      </c>
      <c r="D12" s="5">
        <v>40586</v>
      </c>
      <c r="E12" s="6" t="s">
        <v>333</v>
      </c>
      <c r="F12" s="33">
        <v>180</v>
      </c>
      <c r="G12" s="31"/>
      <c r="H12" s="31"/>
      <c r="I12" s="31"/>
      <c r="J12" s="31"/>
      <c r="K12" s="31"/>
      <c r="L12" s="6">
        <f t="shared" si="2"/>
        <v>-695</v>
      </c>
      <c r="M12" s="6">
        <f t="shared" si="3"/>
        <v>126.88905915536348</v>
      </c>
      <c r="N12" s="31"/>
      <c r="O12" s="31"/>
      <c r="P12" s="31"/>
      <c r="Q12" s="31"/>
      <c r="S12" s="6">
        <f>DAYS360($B$5,T12)</f>
        <v>239</v>
      </c>
      <c r="T12" s="5">
        <v>40784</v>
      </c>
      <c r="U12" s="6" t="s">
        <v>383</v>
      </c>
      <c r="V12" s="33">
        <v>180</v>
      </c>
      <c r="W12" s="6">
        <f>COUNT(V11:V12)</f>
        <v>2</v>
      </c>
      <c r="X12" s="6">
        <f>SUM(V11:V12)</f>
        <v>7380</v>
      </c>
      <c r="Y12" s="6">
        <f>(518400-X12)/W12</f>
        <v>255510</v>
      </c>
      <c r="Z12" s="6">
        <f>INT(Y12/60/24)</f>
        <v>177</v>
      </c>
      <c r="AA12" s="6">
        <f>X12/W12</f>
        <v>3690</v>
      </c>
      <c r="AB12" s="6">
        <f>X12-V13</f>
        <v>7200</v>
      </c>
      <c r="AC12" s="33">
        <f>SQRT((AB12*AB12)/COUNT(S11:S12))</f>
        <v>5091.1688245431424</v>
      </c>
      <c r="AD12" s="6">
        <f>W12/365</f>
        <v>5.4794520547945206E-3</v>
      </c>
      <c r="AE12" s="6">
        <f>AD12*EXP(-AD12*365)</f>
        <v>7.4156319581705592E-4</v>
      </c>
      <c r="AF12" s="6">
        <f>1-EXP(-AD12*365)</f>
        <v>0.8646647167633873</v>
      </c>
      <c r="AG12" s="6">
        <f>EXP(-AD12*365)</f>
        <v>0.1353352832366127</v>
      </c>
    </row>
    <row r="13" spans="2:33" x14ac:dyDescent="0.25">
      <c r="B13" s="6">
        <f t="shared" si="0"/>
        <v>44</v>
      </c>
      <c r="C13" s="14">
        <v>1</v>
      </c>
      <c r="D13" s="5">
        <v>40588</v>
      </c>
      <c r="E13" s="6" t="s">
        <v>333</v>
      </c>
      <c r="F13" s="33">
        <v>120</v>
      </c>
      <c r="G13" s="31"/>
      <c r="H13" s="31"/>
      <c r="I13" s="31"/>
      <c r="J13" s="31"/>
      <c r="K13" s="31"/>
      <c r="L13" s="6">
        <f t="shared" si="2"/>
        <v>-755</v>
      </c>
      <c r="M13" s="6">
        <f t="shared" si="3"/>
        <v>137.84351030546679</v>
      </c>
      <c r="N13" s="31"/>
      <c r="O13" s="31"/>
      <c r="P13" s="31"/>
      <c r="Q13" s="31"/>
      <c r="S13" s="31"/>
      <c r="T13" s="31"/>
      <c r="U13" s="43" t="s">
        <v>235</v>
      </c>
      <c r="V13" s="6">
        <f>AVERAGE(V12)</f>
        <v>180</v>
      </c>
      <c r="W13" s="31"/>
      <c r="X13" s="31"/>
      <c r="Y13" s="31"/>
      <c r="Z13" s="31"/>
      <c r="AA13" s="31"/>
      <c r="AB13" s="31"/>
      <c r="AC13" s="31"/>
      <c r="AD13" s="31"/>
      <c r="AE13" s="31"/>
      <c r="AF13" s="31"/>
      <c r="AG13" s="31"/>
    </row>
    <row r="14" spans="2:33" x14ac:dyDescent="0.25">
      <c r="B14" s="6">
        <f t="shared" si="0"/>
        <v>45</v>
      </c>
      <c r="C14" s="14">
        <v>1</v>
      </c>
      <c r="D14" s="5">
        <v>40589</v>
      </c>
      <c r="E14" s="6" t="s">
        <v>333</v>
      </c>
      <c r="F14" s="33">
        <v>120</v>
      </c>
      <c r="G14" s="31"/>
      <c r="H14" s="31"/>
      <c r="I14" s="31"/>
      <c r="J14" s="31"/>
      <c r="K14" s="31"/>
      <c r="L14" s="6">
        <f t="shared" si="2"/>
        <v>-755</v>
      </c>
      <c r="M14" s="6">
        <f t="shared" si="3"/>
        <v>137.84351030546679</v>
      </c>
      <c r="N14" s="31"/>
      <c r="O14" s="31"/>
      <c r="P14" s="31"/>
      <c r="Q14" s="31"/>
      <c r="S14" s="6">
        <f>DAYS360($B$5,T14)</f>
        <v>215</v>
      </c>
      <c r="T14" s="5">
        <v>40760</v>
      </c>
      <c r="U14" s="6" t="s">
        <v>375</v>
      </c>
      <c r="V14" s="33">
        <f>5*24*60</f>
        <v>7200</v>
      </c>
      <c r="W14" s="6">
        <f>COUNT(V14:V14)</f>
        <v>1</v>
      </c>
      <c r="X14" s="6">
        <f>SUM(V14:V14)</f>
        <v>7200</v>
      </c>
      <c r="Y14" s="6">
        <f t="shared" ref="Y14" si="5">(518400-X14)/W14</f>
        <v>511200</v>
      </c>
      <c r="Z14" s="6">
        <f>INT(Y14/60/24)</f>
        <v>355</v>
      </c>
      <c r="AA14" s="6">
        <f>X14/W14</f>
        <v>7200</v>
      </c>
      <c r="AB14" s="6">
        <f>X14-V15</f>
        <v>0</v>
      </c>
      <c r="AC14" s="33">
        <f>SQRT((AB14*AB14)/COUNT(S13:S14))</f>
        <v>0</v>
      </c>
      <c r="AD14" s="6">
        <f>W14/365</f>
        <v>2.7397260273972603E-3</v>
      </c>
      <c r="AE14" s="6">
        <f>AD14*EXP(-AD14*365)</f>
        <v>1.0078888799217598E-3</v>
      </c>
      <c r="AF14" s="6">
        <f>1-EXP(-AD14*365)</f>
        <v>0.63212055882855767</v>
      </c>
      <c r="AG14" s="6">
        <f>EXP(-AD14*365)</f>
        <v>0.36787944117144233</v>
      </c>
    </row>
    <row r="15" spans="2:33" x14ac:dyDescent="0.25">
      <c r="B15" s="6">
        <f t="shared" si="0"/>
        <v>101</v>
      </c>
      <c r="C15" s="14">
        <v>1</v>
      </c>
      <c r="D15" s="5">
        <v>40644</v>
      </c>
      <c r="E15" s="6" t="s">
        <v>333</v>
      </c>
      <c r="F15" s="33">
        <v>360</v>
      </c>
      <c r="G15" s="31"/>
      <c r="H15" s="31"/>
      <c r="I15" s="31"/>
      <c r="J15" s="31"/>
      <c r="K15" s="31"/>
      <c r="L15" s="6">
        <f t="shared" si="2"/>
        <v>-515</v>
      </c>
      <c r="M15" s="6">
        <f t="shared" si="3"/>
        <v>94.025705705053525</v>
      </c>
      <c r="N15" s="31"/>
      <c r="O15" s="31"/>
      <c r="P15" s="31"/>
      <c r="Q15" s="31"/>
      <c r="S15" s="31"/>
      <c r="T15" s="31"/>
      <c r="U15" s="43" t="s">
        <v>235</v>
      </c>
      <c r="V15" s="6">
        <f>AVERAGE(V14)</f>
        <v>7200</v>
      </c>
      <c r="W15" s="31"/>
      <c r="X15" s="31"/>
      <c r="Y15" s="31"/>
      <c r="Z15" s="31"/>
      <c r="AA15" s="31"/>
      <c r="AB15" s="31"/>
      <c r="AC15" s="31"/>
      <c r="AD15" s="31"/>
      <c r="AE15" s="31"/>
      <c r="AF15" s="31"/>
      <c r="AG15" s="31"/>
    </row>
    <row r="16" spans="2:33" x14ac:dyDescent="0.25">
      <c r="B16" s="6">
        <f t="shared" si="0"/>
        <v>137</v>
      </c>
      <c r="C16" s="14">
        <v>2</v>
      </c>
      <c r="D16" s="5">
        <v>40680</v>
      </c>
      <c r="E16" s="6" t="s">
        <v>333</v>
      </c>
      <c r="F16" s="33">
        <v>150</v>
      </c>
      <c r="G16" s="31"/>
      <c r="H16" s="31"/>
      <c r="I16" s="31"/>
      <c r="J16" s="31"/>
      <c r="K16" s="31"/>
      <c r="L16" s="6">
        <f t="shared" si="2"/>
        <v>-725</v>
      </c>
      <c r="M16" s="6">
        <f t="shared" si="3"/>
        <v>132.36628473041515</v>
      </c>
      <c r="N16" s="31"/>
      <c r="O16" s="31"/>
      <c r="P16" s="31"/>
      <c r="Q16" s="31"/>
      <c r="S16" s="6">
        <f>DAYS360($B$5,T16)</f>
        <v>215</v>
      </c>
      <c r="T16" s="5">
        <v>40760</v>
      </c>
      <c r="U16" s="6" t="s">
        <v>379</v>
      </c>
      <c r="V16" s="33">
        <f>5*24*60</f>
        <v>7200</v>
      </c>
      <c r="W16" s="6">
        <f>COUNT(V16:V16)</f>
        <v>1</v>
      </c>
      <c r="X16" s="6">
        <f>SUM(V16:V16)</f>
        <v>7200</v>
      </c>
      <c r="Y16" s="6">
        <f t="shared" ref="Y16" si="6">(518400-X16)/W16</f>
        <v>511200</v>
      </c>
      <c r="Z16" s="6">
        <f>INT(Y16/60/24)</f>
        <v>355</v>
      </c>
      <c r="AA16" s="6">
        <f>X16/W16</f>
        <v>7200</v>
      </c>
      <c r="AB16" s="6">
        <f>X16-V17</f>
        <v>0</v>
      </c>
      <c r="AC16" s="33">
        <f>SQRT((AB16*AB16)/COUNT(S15:S16))</f>
        <v>0</v>
      </c>
      <c r="AD16" s="6">
        <f>W16/365</f>
        <v>2.7397260273972603E-3</v>
      </c>
      <c r="AE16" s="6">
        <f>AD16*EXP(-AD16*365)</f>
        <v>1.0078888799217598E-3</v>
      </c>
      <c r="AF16" s="6">
        <f>1-EXP(-AD16*365)</f>
        <v>0.63212055882855767</v>
      </c>
      <c r="AG16" s="6">
        <f>EXP(-AD16*365)</f>
        <v>0.36787944117144233</v>
      </c>
    </row>
    <row r="17" spans="2:33" x14ac:dyDescent="0.25">
      <c r="B17" s="6">
        <f t="shared" si="0"/>
        <v>144</v>
      </c>
      <c r="C17" s="14">
        <v>1</v>
      </c>
      <c r="D17" s="5">
        <v>40687</v>
      </c>
      <c r="E17" s="6" t="s">
        <v>333</v>
      </c>
      <c r="F17" s="33">
        <v>180</v>
      </c>
      <c r="G17" s="31"/>
      <c r="H17" s="31"/>
      <c r="I17" s="31"/>
      <c r="J17" s="31"/>
      <c r="K17" s="31"/>
      <c r="L17" s="6">
        <f t="shared" si="2"/>
        <v>-695</v>
      </c>
      <c r="M17" s="6">
        <f t="shared" si="3"/>
        <v>126.88905915536348</v>
      </c>
      <c r="N17" s="31"/>
      <c r="O17" s="31"/>
      <c r="P17" s="31"/>
      <c r="Q17" s="31"/>
      <c r="S17" s="31"/>
      <c r="T17" s="31"/>
      <c r="U17" s="43" t="s">
        <v>235</v>
      </c>
      <c r="V17" s="6">
        <f>AVERAGE(V16)</f>
        <v>7200</v>
      </c>
      <c r="W17" s="31"/>
      <c r="X17" s="31"/>
      <c r="Y17" s="31"/>
      <c r="Z17" s="31"/>
      <c r="AA17" s="31"/>
      <c r="AB17" s="31"/>
      <c r="AC17" s="31"/>
      <c r="AD17" s="31"/>
      <c r="AE17" s="31"/>
      <c r="AF17" s="31"/>
      <c r="AG17" s="31"/>
    </row>
    <row r="18" spans="2:33" x14ac:dyDescent="0.25">
      <c r="B18" s="6">
        <f t="shared" si="0"/>
        <v>216</v>
      </c>
      <c r="C18" s="14">
        <v>1</v>
      </c>
      <c r="D18" s="5">
        <v>40761</v>
      </c>
      <c r="E18" s="6" t="s">
        <v>333</v>
      </c>
      <c r="F18" s="33">
        <v>120</v>
      </c>
      <c r="G18" s="6">
        <f>COUNT(F11:F18)</f>
        <v>8</v>
      </c>
      <c r="H18" s="6">
        <f>SUM(F11:F18)</f>
        <v>1590</v>
      </c>
      <c r="I18" s="6">
        <f>(518400-H18)/G18</f>
        <v>64601.25</v>
      </c>
      <c r="J18" s="6">
        <f>INT(I18/60/24)</f>
        <v>44</v>
      </c>
      <c r="K18" s="6">
        <f>H18/G18</f>
        <v>198.75</v>
      </c>
      <c r="L18" s="6">
        <f t="shared" si="2"/>
        <v>-755</v>
      </c>
      <c r="M18" s="6">
        <f t="shared" si="3"/>
        <v>137.84351030546679</v>
      </c>
      <c r="N18" s="6">
        <f>G18/365</f>
        <v>2.1917808219178082E-2</v>
      </c>
      <c r="O18" s="6">
        <f>N18*EXP(-N18*365)</f>
        <v>7.3526055430687528E-6</v>
      </c>
      <c r="P18" s="6">
        <f>1-EXP(-N18*365)</f>
        <v>0.99966453737209748</v>
      </c>
      <c r="Q18" s="6">
        <f>EXP(-N18*365)</f>
        <v>3.3546262790251185E-4</v>
      </c>
      <c r="S18" s="6">
        <f>DAYS360($B$5,T18)</f>
        <v>215</v>
      </c>
      <c r="T18" s="5">
        <v>40760</v>
      </c>
      <c r="U18" s="6" t="s">
        <v>377</v>
      </c>
      <c r="V18" s="33">
        <f>5*24*60</f>
        <v>7200</v>
      </c>
      <c r="W18" s="6">
        <f>COUNT(V18:V18)</f>
        <v>1</v>
      </c>
      <c r="X18" s="6">
        <f>SUM(V18:V18)</f>
        <v>7200</v>
      </c>
      <c r="Y18" s="6">
        <f t="shared" ref="Y18" si="7">(518400-X18)/W18</f>
        <v>511200</v>
      </c>
      <c r="Z18" s="6">
        <f>INT(Y18/60/24)</f>
        <v>355</v>
      </c>
      <c r="AA18" s="6">
        <f>X18/W18</f>
        <v>7200</v>
      </c>
      <c r="AB18" s="6">
        <f>X18-V19</f>
        <v>0</v>
      </c>
      <c r="AC18" s="33">
        <f>SQRT((AB18*AB18)/COUNT(S17:S18))</f>
        <v>0</v>
      </c>
      <c r="AD18" s="6">
        <f>W18/365</f>
        <v>2.7397260273972603E-3</v>
      </c>
      <c r="AE18" s="6">
        <f>AD18*EXP(-AD18*365)</f>
        <v>1.0078888799217598E-3</v>
      </c>
      <c r="AF18" s="6">
        <f>1-EXP(-AD18*365)</f>
        <v>0.63212055882855767</v>
      </c>
      <c r="AG18" s="6">
        <f>EXP(-AD18*365)</f>
        <v>0.36787944117144233</v>
      </c>
    </row>
    <row r="19" spans="2:33" x14ac:dyDescent="0.25">
      <c r="B19" s="6">
        <f t="shared" si="0"/>
        <v>20</v>
      </c>
      <c r="C19" s="14">
        <v>1</v>
      </c>
      <c r="D19" s="5">
        <v>40563</v>
      </c>
      <c r="E19" s="6" t="s">
        <v>342</v>
      </c>
      <c r="F19" s="33">
        <v>60</v>
      </c>
      <c r="G19" s="31"/>
      <c r="H19" s="31"/>
      <c r="I19" s="31"/>
      <c r="J19" s="31"/>
      <c r="K19" s="31"/>
      <c r="L19" s="6">
        <f t="shared" si="2"/>
        <v>-815</v>
      </c>
      <c r="M19" s="6">
        <f t="shared" si="3"/>
        <v>148.79796145557012</v>
      </c>
      <c r="N19" s="31"/>
      <c r="O19" s="31"/>
      <c r="P19" s="31"/>
      <c r="Q19" s="31"/>
      <c r="S19" s="31"/>
      <c r="T19" s="31"/>
      <c r="U19" s="43" t="s">
        <v>235</v>
      </c>
      <c r="V19" s="6">
        <f>AVERAGE(V18)</f>
        <v>7200</v>
      </c>
      <c r="W19" s="31"/>
      <c r="X19" s="31"/>
      <c r="Y19" s="31"/>
      <c r="Z19" s="31"/>
      <c r="AA19" s="31"/>
      <c r="AB19" s="31"/>
      <c r="AC19" s="31"/>
      <c r="AD19" s="31"/>
      <c r="AE19" s="31"/>
      <c r="AF19" s="31"/>
      <c r="AG19" s="31"/>
    </row>
    <row r="20" spans="2:33" x14ac:dyDescent="0.25">
      <c r="B20" s="6">
        <f t="shared" si="0"/>
        <v>21</v>
      </c>
      <c r="C20" s="14">
        <v>1</v>
      </c>
      <c r="D20" s="5">
        <v>40564</v>
      </c>
      <c r="E20" s="6" t="s">
        <v>342</v>
      </c>
      <c r="F20" s="33">
        <v>60</v>
      </c>
      <c r="G20" s="31"/>
      <c r="H20" s="31"/>
      <c r="I20" s="31"/>
      <c r="J20" s="31"/>
      <c r="K20" s="31"/>
      <c r="L20" s="6">
        <f t="shared" si="2"/>
        <v>-815</v>
      </c>
      <c r="M20" s="6">
        <f t="shared" si="3"/>
        <v>148.79796145557012</v>
      </c>
      <c r="N20" s="31"/>
      <c r="O20" s="31"/>
      <c r="P20" s="31"/>
      <c r="Q20" s="31"/>
      <c r="S20" s="6">
        <f>DAYS360($B$5,T20)</f>
        <v>18</v>
      </c>
      <c r="T20" s="5">
        <v>40561</v>
      </c>
      <c r="U20" s="6" t="s">
        <v>332</v>
      </c>
      <c r="V20" s="30">
        <f>10*24*60</f>
        <v>14400</v>
      </c>
      <c r="W20" s="6">
        <f>COUNT(V20:V20)</f>
        <v>1</v>
      </c>
      <c r="X20" s="6">
        <f>SUM(V20:V20)</f>
        <v>14400</v>
      </c>
      <c r="Y20" s="6">
        <f t="shared" ref="Y20" si="8">(518400-X20)/W20</f>
        <v>504000</v>
      </c>
      <c r="Z20" s="6">
        <f>INT(Y20/60/24)</f>
        <v>350</v>
      </c>
      <c r="AA20" s="6">
        <f>X20/W20</f>
        <v>14400</v>
      </c>
      <c r="AB20" s="6">
        <f>X20-V21</f>
        <v>0</v>
      </c>
      <c r="AC20" s="33">
        <f>SQRT((AB20*AB20)/COUNT(S19:S20))</f>
        <v>0</v>
      </c>
      <c r="AD20" s="6">
        <f>W20/365</f>
        <v>2.7397260273972603E-3</v>
      </c>
      <c r="AE20" s="6">
        <f>AD20*EXP(-AD20*365)</f>
        <v>1.0078888799217598E-3</v>
      </c>
      <c r="AF20" s="6">
        <f>1-EXP(-AD20*365)</f>
        <v>0.63212055882855767</v>
      </c>
      <c r="AG20" s="6">
        <f>EXP(-AD20*365)</f>
        <v>0.36787944117144233</v>
      </c>
    </row>
    <row r="21" spans="2:33" x14ac:dyDescent="0.25">
      <c r="B21" s="6">
        <f t="shared" si="0"/>
        <v>55</v>
      </c>
      <c r="C21" s="14">
        <v>1</v>
      </c>
      <c r="D21" s="5">
        <v>40599</v>
      </c>
      <c r="E21" s="6" t="s">
        <v>342</v>
      </c>
      <c r="F21" s="33">
        <f>8*60</f>
        <v>480</v>
      </c>
      <c r="G21" s="31"/>
      <c r="H21" s="31"/>
      <c r="I21" s="31"/>
      <c r="J21" s="31"/>
      <c r="K21" s="31"/>
      <c r="L21" s="6">
        <f t="shared" si="2"/>
        <v>-395</v>
      </c>
      <c r="M21" s="6">
        <f t="shared" si="3"/>
        <v>72.116803404846863</v>
      </c>
      <c r="N21" s="31"/>
      <c r="O21" s="31"/>
      <c r="P21" s="31"/>
      <c r="Q21" s="31"/>
      <c r="S21" s="31"/>
      <c r="T21" s="31"/>
      <c r="U21" s="43" t="s">
        <v>235</v>
      </c>
      <c r="V21" s="6">
        <f>AVERAGE(V20)</f>
        <v>14400</v>
      </c>
      <c r="W21" s="31"/>
      <c r="X21" s="31"/>
      <c r="Y21" s="31"/>
      <c r="Z21" s="31"/>
      <c r="AA21" s="31"/>
      <c r="AB21" s="31"/>
      <c r="AC21" s="31"/>
      <c r="AD21" s="31"/>
      <c r="AE21" s="31"/>
      <c r="AF21" s="31"/>
      <c r="AG21" s="31"/>
    </row>
    <row r="22" spans="2:33" x14ac:dyDescent="0.25">
      <c r="B22" s="6">
        <f t="shared" si="0"/>
        <v>61</v>
      </c>
      <c r="C22" s="14">
        <v>1</v>
      </c>
      <c r="D22" s="5">
        <v>40603</v>
      </c>
      <c r="E22" s="6" t="s">
        <v>342</v>
      </c>
      <c r="F22" s="33">
        <v>240</v>
      </c>
      <c r="G22" s="31"/>
      <c r="H22" s="31"/>
      <c r="I22" s="31"/>
      <c r="J22" s="31"/>
      <c r="K22" s="31"/>
      <c r="L22" s="6">
        <f t="shared" si="2"/>
        <v>-635</v>
      </c>
      <c r="M22" s="6">
        <f t="shared" si="3"/>
        <v>115.93460800526016</v>
      </c>
      <c r="N22" s="31"/>
      <c r="O22" s="31"/>
      <c r="P22" s="31"/>
      <c r="Q22" s="31"/>
      <c r="S22" s="6">
        <f>DAYS360($B$5,T22)</f>
        <v>52</v>
      </c>
      <c r="T22" s="5">
        <v>40596</v>
      </c>
      <c r="U22" s="6" t="s">
        <v>331</v>
      </c>
      <c r="V22" s="33">
        <v>30</v>
      </c>
      <c r="W22" s="6">
        <f>COUNT(V22:V22)</f>
        <v>1</v>
      </c>
      <c r="X22" s="6">
        <f>SUM(V22:V22)</f>
        <v>30</v>
      </c>
      <c r="Y22" s="6">
        <f>(518400-X22)/W22</f>
        <v>518370</v>
      </c>
      <c r="Z22" s="6">
        <f>INT(Y22/60/24)</f>
        <v>359</v>
      </c>
      <c r="AA22" s="6">
        <f>X22/W22</f>
        <v>30</v>
      </c>
      <c r="AB22" s="6">
        <f>X22-V23</f>
        <v>0</v>
      </c>
      <c r="AC22" s="33">
        <f>SQRT((AB22*AB22)/COUNT(S21:S22))</f>
        <v>0</v>
      </c>
      <c r="AD22" s="6">
        <f>W22/365</f>
        <v>2.7397260273972603E-3</v>
      </c>
      <c r="AE22" s="6">
        <f>AD22*EXP(-AD22*365)</f>
        <v>1.0078888799217598E-3</v>
      </c>
      <c r="AF22" s="6">
        <f>1-EXP(-AD22*365)</f>
        <v>0.63212055882855767</v>
      </c>
      <c r="AG22" s="6">
        <f>EXP(-AD22*365)</f>
        <v>0.36787944117144233</v>
      </c>
    </row>
    <row r="23" spans="2:33" x14ac:dyDescent="0.25">
      <c r="B23" s="6">
        <f t="shared" si="0"/>
        <v>74</v>
      </c>
      <c r="C23" s="14">
        <v>1</v>
      </c>
      <c r="D23" s="5">
        <v>40616</v>
      </c>
      <c r="E23" s="6" t="s">
        <v>342</v>
      </c>
      <c r="F23" s="33">
        <v>120</v>
      </c>
      <c r="G23" s="31"/>
      <c r="H23" s="31"/>
      <c r="I23" s="31"/>
      <c r="J23" s="31"/>
      <c r="K23" s="31"/>
      <c r="L23" s="6">
        <f t="shared" si="2"/>
        <v>-755</v>
      </c>
      <c r="M23" s="6">
        <f t="shared" si="3"/>
        <v>137.84351030546679</v>
      </c>
      <c r="N23" s="31"/>
      <c r="O23" s="31"/>
      <c r="P23" s="31"/>
      <c r="Q23" s="31"/>
      <c r="S23" s="31"/>
      <c r="T23" s="31"/>
      <c r="U23" s="43" t="s">
        <v>235</v>
      </c>
      <c r="V23" s="6">
        <f>AVERAGE(V22)</f>
        <v>30</v>
      </c>
      <c r="W23" s="31"/>
      <c r="X23" s="31"/>
      <c r="Y23" s="31"/>
      <c r="Z23" s="31"/>
      <c r="AA23" s="31"/>
      <c r="AB23" s="31"/>
      <c r="AC23" s="31"/>
      <c r="AD23" s="31"/>
      <c r="AE23" s="31"/>
      <c r="AF23" s="31"/>
      <c r="AG23" s="31"/>
    </row>
    <row r="24" spans="2:33" x14ac:dyDescent="0.25">
      <c r="B24" s="6">
        <f t="shared" si="0"/>
        <v>76</v>
      </c>
      <c r="C24" s="14">
        <v>1</v>
      </c>
      <c r="D24" s="5">
        <v>40618</v>
      </c>
      <c r="E24" s="6" t="s">
        <v>342</v>
      </c>
      <c r="F24" s="33">
        <v>30</v>
      </c>
      <c r="G24" s="31"/>
      <c r="H24" s="31"/>
      <c r="I24" s="31"/>
      <c r="J24" s="31"/>
      <c r="K24" s="31"/>
      <c r="L24" s="6">
        <f t="shared" si="2"/>
        <v>-845</v>
      </c>
      <c r="M24" s="6">
        <f t="shared" si="3"/>
        <v>154.27518703062179</v>
      </c>
      <c r="N24" s="31"/>
      <c r="O24" s="31"/>
      <c r="P24" s="31"/>
      <c r="Q24" s="31"/>
      <c r="S24" s="6">
        <f t="shared" ref="S24:S31" si="9">DAYS360($B$5,T24)</f>
        <v>41</v>
      </c>
      <c r="T24" s="5">
        <v>40585</v>
      </c>
      <c r="U24" s="6" t="s">
        <v>338</v>
      </c>
      <c r="V24" s="33">
        <v>360</v>
      </c>
      <c r="W24" s="31"/>
      <c r="X24" s="31"/>
      <c r="Y24" s="31"/>
      <c r="Z24" s="31"/>
      <c r="AA24" s="31"/>
      <c r="AB24" s="31"/>
      <c r="AC24" s="31"/>
      <c r="AD24" s="31"/>
      <c r="AE24" s="31"/>
      <c r="AF24" s="31"/>
      <c r="AG24" s="31"/>
    </row>
    <row r="25" spans="2:33" x14ac:dyDescent="0.25">
      <c r="B25" s="6">
        <f t="shared" si="0"/>
        <v>78</v>
      </c>
      <c r="C25" s="14">
        <v>1</v>
      </c>
      <c r="D25" s="5">
        <v>40620</v>
      </c>
      <c r="E25" s="6" t="s">
        <v>342</v>
      </c>
      <c r="F25" s="33">
        <v>300</v>
      </c>
      <c r="G25" s="31"/>
      <c r="H25" s="31"/>
      <c r="I25" s="31"/>
      <c r="J25" s="31"/>
      <c r="K25" s="31"/>
      <c r="L25" s="6">
        <f t="shared" si="2"/>
        <v>-575</v>
      </c>
      <c r="M25" s="6">
        <f t="shared" si="3"/>
        <v>104.98015685515684</v>
      </c>
      <c r="N25" s="31"/>
      <c r="O25" s="31"/>
      <c r="P25" s="31"/>
      <c r="Q25" s="31"/>
      <c r="S25" s="6">
        <f t="shared" si="9"/>
        <v>42</v>
      </c>
      <c r="T25" s="5">
        <v>40586</v>
      </c>
      <c r="U25" s="6" t="s">
        <v>338</v>
      </c>
      <c r="V25" s="33">
        <v>180</v>
      </c>
      <c r="W25" s="31"/>
      <c r="X25" s="31"/>
      <c r="Y25" s="31"/>
      <c r="Z25" s="31"/>
      <c r="AA25" s="31"/>
      <c r="AB25" s="31"/>
      <c r="AC25" s="31"/>
      <c r="AD25" s="31"/>
      <c r="AE25" s="31"/>
      <c r="AF25" s="31"/>
      <c r="AG25" s="31"/>
    </row>
    <row r="26" spans="2:33" x14ac:dyDescent="0.25">
      <c r="B26" s="6">
        <f t="shared" si="0"/>
        <v>173</v>
      </c>
      <c r="C26" s="14">
        <v>1</v>
      </c>
      <c r="D26" s="5">
        <v>40717</v>
      </c>
      <c r="E26" s="6" t="s">
        <v>342</v>
      </c>
      <c r="F26" s="33">
        <v>30</v>
      </c>
      <c r="G26" s="31"/>
      <c r="H26" s="31"/>
      <c r="I26" s="31"/>
      <c r="J26" s="31"/>
      <c r="K26" s="31"/>
      <c r="L26" s="6">
        <f t="shared" si="2"/>
        <v>-845</v>
      </c>
      <c r="M26" s="6">
        <f t="shared" si="3"/>
        <v>154.27518703062179</v>
      </c>
      <c r="N26" s="31"/>
      <c r="O26" s="31"/>
      <c r="P26" s="31"/>
      <c r="Q26" s="31"/>
      <c r="S26" s="6">
        <f t="shared" si="9"/>
        <v>44</v>
      </c>
      <c r="T26" s="5">
        <v>40588</v>
      </c>
      <c r="U26" s="6" t="s">
        <v>338</v>
      </c>
      <c r="V26" s="33">
        <v>120</v>
      </c>
      <c r="W26" s="31"/>
      <c r="X26" s="31"/>
      <c r="Y26" s="31"/>
      <c r="Z26" s="31"/>
      <c r="AA26" s="31"/>
      <c r="AB26" s="31"/>
      <c r="AC26" s="31"/>
      <c r="AD26" s="31"/>
      <c r="AE26" s="31"/>
      <c r="AF26" s="31"/>
      <c r="AG26" s="31"/>
    </row>
    <row r="27" spans="2:33" x14ac:dyDescent="0.25">
      <c r="B27" s="6">
        <f t="shared" si="0"/>
        <v>211</v>
      </c>
      <c r="C27" s="14">
        <v>1</v>
      </c>
      <c r="D27" s="5">
        <v>40756</v>
      </c>
      <c r="E27" s="6" t="s">
        <v>342</v>
      </c>
      <c r="F27" s="33">
        <v>60</v>
      </c>
      <c r="G27" s="31"/>
      <c r="H27" s="31"/>
      <c r="I27" s="31"/>
      <c r="J27" s="31"/>
      <c r="K27" s="31"/>
      <c r="L27" s="6">
        <f t="shared" si="2"/>
        <v>-815</v>
      </c>
      <c r="M27" s="6">
        <f t="shared" si="3"/>
        <v>148.79796145557012</v>
      </c>
      <c r="N27" s="31"/>
      <c r="O27" s="31"/>
      <c r="P27" s="31"/>
      <c r="Q27" s="31"/>
      <c r="S27" s="6">
        <f t="shared" si="9"/>
        <v>101</v>
      </c>
      <c r="T27" s="5">
        <v>40644</v>
      </c>
      <c r="U27" s="6" t="s">
        <v>338</v>
      </c>
      <c r="V27" s="33">
        <v>360</v>
      </c>
      <c r="W27" s="31"/>
      <c r="X27" s="31"/>
      <c r="Y27" s="31"/>
      <c r="Z27" s="31"/>
      <c r="AA27" s="31"/>
      <c r="AB27" s="31"/>
      <c r="AC27" s="31"/>
      <c r="AD27" s="31"/>
      <c r="AE27" s="31"/>
      <c r="AF27" s="31"/>
      <c r="AG27" s="31"/>
    </row>
    <row r="28" spans="2:33" x14ac:dyDescent="0.25">
      <c r="B28" s="6">
        <f t="shared" si="0"/>
        <v>233</v>
      </c>
      <c r="C28" s="14">
        <v>1</v>
      </c>
      <c r="D28" s="5">
        <v>40778</v>
      </c>
      <c r="E28" s="6" t="s">
        <v>342</v>
      </c>
      <c r="F28" s="33">
        <v>60</v>
      </c>
      <c r="G28" s="31"/>
      <c r="H28" s="31"/>
      <c r="I28" s="31"/>
      <c r="J28" s="31"/>
      <c r="K28" s="31"/>
      <c r="L28" s="6">
        <f t="shared" si="2"/>
        <v>-815</v>
      </c>
      <c r="M28" s="6">
        <f t="shared" si="3"/>
        <v>148.79796145557012</v>
      </c>
      <c r="N28" s="31"/>
      <c r="O28" s="31"/>
      <c r="P28" s="31"/>
      <c r="Q28" s="31"/>
      <c r="S28" s="6">
        <f t="shared" si="9"/>
        <v>137</v>
      </c>
      <c r="T28" s="5">
        <v>40680</v>
      </c>
      <c r="U28" s="6" t="s">
        <v>338</v>
      </c>
      <c r="V28" s="33">
        <v>150</v>
      </c>
      <c r="W28" s="31"/>
      <c r="X28" s="31"/>
      <c r="Y28" s="31"/>
      <c r="Z28" s="31"/>
      <c r="AA28" s="31"/>
      <c r="AB28" s="31"/>
      <c r="AC28" s="31"/>
      <c r="AD28" s="31"/>
      <c r="AE28" s="31"/>
      <c r="AF28" s="31"/>
      <c r="AG28" s="31"/>
    </row>
    <row r="29" spans="2:33" x14ac:dyDescent="0.25">
      <c r="B29" s="6">
        <f t="shared" si="0"/>
        <v>295</v>
      </c>
      <c r="C29" s="14">
        <v>1</v>
      </c>
      <c r="D29" s="5">
        <v>40841</v>
      </c>
      <c r="E29" s="6" t="s">
        <v>342</v>
      </c>
      <c r="F29" s="33">
        <v>180</v>
      </c>
      <c r="G29" s="31"/>
      <c r="H29" s="31"/>
      <c r="I29" s="31"/>
      <c r="J29" s="31"/>
      <c r="K29" s="31"/>
      <c r="L29" s="6">
        <f t="shared" si="2"/>
        <v>-695</v>
      </c>
      <c r="M29" s="6">
        <f t="shared" si="3"/>
        <v>126.88905915536348</v>
      </c>
      <c r="N29" s="31"/>
      <c r="O29" s="31"/>
      <c r="P29" s="31"/>
      <c r="Q29" s="31"/>
      <c r="S29" s="6">
        <f t="shared" si="9"/>
        <v>137</v>
      </c>
      <c r="T29" s="5">
        <v>40680</v>
      </c>
      <c r="U29" s="6" t="s">
        <v>338</v>
      </c>
      <c r="V29" s="33">
        <v>150</v>
      </c>
      <c r="W29" s="31"/>
      <c r="X29" s="31"/>
      <c r="Y29" s="31"/>
      <c r="Z29" s="31"/>
      <c r="AA29" s="31"/>
      <c r="AB29" s="31"/>
      <c r="AC29" s="31"/>
      <c r="AD29" s="31"/>
      <c r="AE29" s="31"/>
      <c r="AF29" s="31"/>
      <c r="AG29" s="31"/>
    </row>
    <row r="30" spans="2:33" x14ac:dyDescent="0.25">
      <c r="B30" s="6">
        <f t="shared" si="0"/>
        <v>296</v>
      </c>
      <c r="C30" s="14">
        <v>1</v>
      </c>
      <c r="D30" s="5">
        <v>40842</v>
      </c>
      <c r="E30" s="6" t="s">
        <v>342</v>
      </c>
      <c r="F30" s="33">
        <v>120</v>
      </c>
      <c r="G30" s="31"/>
      <c r="H30" s="31"/>
      <c r="I30" s="31"/>
      <c r="J30" s="31"/>
      <c r="K30" s="31"/>
      <c r="L30" s="6">
        <f t="shared" si="2"/>
        <v>-755</v>
      </c>
      <c r="M30" s="6">
        <f t="shared" si="3"/>
        <v>137.84351030546679</v>
      </c>
      <c r="N30" s="31"/>
      <c r="O30" s="31"/>
      <c r="P30" s="31"/>
      <c r="Q30" s="31"/>
      <c r="S30" s="6">
        <f t="shared" si="9"/>
        <v>144</v>
      </c>
      <c r="T30" s="5">
        <v>40687</v>
      </c>
      <c r="U30" s="6" t="s">
        <v>338</v>
      </c>
      <c r="V30" s="33">
        <v>180</v>
      </c>
      <c r="W30" s="31"/>
      <c r="X30" s="31"/>
      <c r="Y30" s="31"/>
      <c r="Z30" s="31"/>
      <c r="AA30" s="31"/>
      <c r="AB30" s="31"/>
      <c r="AC30" s="31"/>
      <c r="AD30" s="31"/>
      <c r="AE30" s="31"/>
      <c r="AF30" s="31"/>
      <c r="AG30" s="31"/>
    </row>
    <row r="31" spans="2:33" x14ac:dyDescent="0.25">
      <c r="B31" s="6">
        <f t="shared" si="0"/>
        <v>297</v>
      </c>
      <c r="C31" s="14">
        <v>1</v>
      </c>
      <c r="D31" s="5">
        <v>40843</v>
      </c>
      <c r="E31" s="6" t="s">
        <v>342</v>
      </c>
      <c r="F31" s="33">
        <v>180</v>
      </c>
      <c r="G31" s="31"/>
      <c r="H31" s="31"/>
      <c r="I31" s="31"/>
      <c r="J31" s="31"/>
      <c r="K31" s="31"/>
      <c r="L31" s="6">
        <f t="shared" si="2"/>
        <v>-695</v>
      </c>
      <c r="M31" s="6">
        <f t="shared" si="3"/>
        <v>126.88905915536348</v>
      </c>
      <c r="N31" s="31"/>
      <c r="O31" s="31"/>
      <c r="P31" s="31"/>
      <c r="Q31" s="31"/>
      <c r="S31" s="6">
        <f t="shared" si="9"/>
        <v>216</v>
      </c>
      <c r="T31" s="5">
        <v>40761</v>
      </c>
      <c r="U31" s="6" t="s">
        <v>338</v>
      </c>
      <c r="V31" s="33">
        <v>120</v>
      </c>
      <c r="W31" s="6">
        <f>COUNT(V24:V31)</f>
        <v>8</v>
      </c>
      <c r="X31" s="6">
        <f>SUM(V24:V31)</f>
        <v>1620</v>
      </c>
      <c r="Y31" s="6">
        <f>(518400-X31)/W31</f>
        <v>64597.5</v>
      </c>
      <c r="Z31" s="6">
        <f>INT(Y31/60/24)</f>
        <v>44</v>
      </c>
      <c r="AA31" s="6">
        <f>X31/W31</f>
        <v>202.5</v>
      </c>
      <c r="AB31" s="6">
        <f>X31-V32</f>
        <v>1500</v>
      </c>
      <c r="AC31" s="33">
        <f>SQRT((AB31*AB31)/COUNT(S24:S31))</f>
        <v>530.33008588991061</v>
      </c>
      <c r="AD31" s="6">
        <f>W31/365</f>
        <v>2.1917808219178082E-2</v>
      </c>
      <c r="AE31" s="6">
        <f>AD31*EXP(-AD31*365)</f>
        <v>7.3526055430687528E-6</v>
      </c>
      <c r="AF31" s="6">
        <f>1-EXP(-AD31*365)</f>
        <v>0.99966453737209748</v>
      </c>
      <c r="AG31" s="6">
        <f>EXP(-AD31*365)</f>
        <v>3.3546262790251185E-4</v>
      </c>
    </row>
    <row r="32" spans="2:33" x14ac:dyDescent="0.25">
      <c r="B32" s="6">
        <f t="shared" si="0"/>
        <v>332</v>
      </c>
      <c r="C32" s="14">
        <v>1</v>
      </c>
      <c r="D32" s="5">
        <v>40879</v>
      </c>
      <c r="E32" s="6" t="s">
        <v>342</v>
      </c>
      <c r="F32" s="33">
        <v>30</v>
      </c>
      <c r="G32" s="6">
        <f>COUNT(F19:F32)</f>
        <v>14</v>
      </c>
      <c r="H32" s="6">
        <f>SUM(F19:F32)</f>
        <v>1950</v>
      </c>
      <c r="I32" s="6">
        <f>(518400-H32)/G32</f>
        <v>36889.285714285717</v>
      </c>
      <c r="J32" s="6">
        <f>INT(I32/60/24)</f>
        <v>25</v>
      </c>
      <c r="K32" s="6">
        <f>H32/G32</f>
        <v>139.28571428571428</v>
      </c>
      <c r="L32" s="6">
        <f t="shared" si="2"/>
        <v>-845</v>
      </c>
      <c r="M32" s="6">
        <f t="shared" si="3"/>
        <v>154.27518703062179</v>
      </c>
      <c r="N32" s="6">
        <f>G32/365</f>
        <v>3.8356164383561646E-2</v>
      </c>
      <c r="O32" s="6">
        <f>N32*EXP(-N32*365)</f>
        <v>3.1894252239588909E-8</v>
      </c>
      <c r="P32" s="6">
        <f>1-EXP(-N32*365)</f>
        <v>0.9999991684712809</v>
      </c>
      <c r="Q32" s="6">
        <f>EXP(-N32*365)</f>
        <v>8.3152871910356788E-7</v>
      </c>
      <c r="S32" s="31"/>
      <c r="T32" s="31"/>
      <c r="U32" s="43" t="s">
        <v>235</v>
      </c>
      <c r="V32" s="6">
        <f>AVERAGE(V31)</f>
        <v>120</v>
      </c>
      <c r="W32" s="31"/>
      <c r="X32" s="31"/>
      <c r="Y32" s="31"/>
      <c r="Z32" s="31"/>
      <c r="AA32" s="31"/>
      <c r="AB32" s="31"/>
      <c r="AC32" s="31"/>
      <c r="AD32" s="31"/>
      <c r="AE32" s="31"/>
      <c r="AF32" s="31"/>
      <c r="AG32" s="31"/>
    </row>
    <row r="33" spans="2:33" x14ac:dyDescent="0.25">
      <c r="B33" s="6">
        <f t="shared" si="0"/>
        <v>112</v>
      </c>
      <c r="C33" s="14">
        <v>1</v>
      </c>
      <c r="D33" s="5">
        <v>40655</v>
      </c>
      <c r="E33" s="6" t="s">
        <v>385</v>
      </c>
      <c r="F33" s="33">
        <v>360</v>
      </c>
      <c r="G33" s="6">
        <f>COUNT(F33:F33)</f>
        <v>1</v>
      </c>
      <c r="H33" s="6">
        <f>SUM(F33:F33)</f>
        <v>360</v>
      </c>
      <c r="I33" s="6">
        <f>(518400-H33)/G33</f>
        <v>518040</v>
      </c>
      <c r="J33" s="6">
        <f>INT(I33/60/24)</f>
        <v>359</v>
      </c>
      <c r="K33" s="6">
        <f>H33/G33</f>
        <v>360</v>
      </c>
      <c r="L33" s="6">
        <f t="shared" si="2"/>
        <v>-515</v>
      </c>
      <c r="M33" s="6">
        <f t="shared" si="3"/>
        <v>94.025705705053525</v>
      </c>
      <c r="N33" s="6">
        <f>G33/365</f>
        <v>2.7397260273972603E-3</v>
      </c>
      <c r="O33" s="6">
        <f>N33*EXP(-N33*365)</f>
        <v>1.0078888799217598E-3</v>
      </c>
      <c r="P33" s="6">
        <f>1-EXP(-N33*365)</f>
        <v>0.63212055882855767</v>
      </c>
      <c r="Q33" s="6">
        <f>EXP(-N33*365)</f>
        <v>0.36787944117144233</v>
      </c>
      <c r="S33" s="6">
        <f>DAYS360($B$5,T33)</f>
        <v>45</v>
      </c>
      <c r="T33" s="5">
        <v>40589</v>
      </c>
      <c r="U33" s="6" t="s">
        <v>339</v>
      </c>
      <c r="V33" s="33">
        <v>120</v>
      </c>
      <c r="W33" s="6">
        <f>COUNT(V33:V33)</f>
        <v>1</v>
      </c>
      <c r="X33" s="6">
        <f>SUM(V33:V33)</f>
        <v>120</v>
      </c>
      <c r="Y33" s="6">
        <f>(518400-X33)/W33</f>
        <v>518280</v>
      </c>
      <c r="Z33" s="6">
        <f>INT(Y33/60/24)</f>
        <v>359</v>
      </c>
      <c r="AA33" s="6">
        <f>X33/W33</f>
        <v>120</v>
      </c>
      <c r="AB33" s="6">
        <f>X33-V34</f>
        <v>0</v>
      </c>
      <c r="AC33" s="33">
        <f>SQRT((AB33*AB33)/COUNT(S33))</f>
        <v>0</v>
      </c>
      <c r="AD33" s="6">
        <f>W33/365</f>
        <v>2.7397260273972603E-3</v>
      </c>
      <c r="AE33" s="6">
        <f>AD33*EXP(-AD33*365)</f>
        <v>1.0078888799217598E-3</v>
      </c>
      <c r="AF33" s="6">
        <f>1-EXP(-AD33*365)</f>
        <v>0.63212055882855767</v>
      </c>
      <c r="AG33" s="6">
        <f>EXP(-AD33*365)</f>
        <v>0.36787944117144233</v>
      </c>
    </row>
    <row r="34" spans="2:33" x14ac:dyDescent="0.25">
      <c r="B34" s="6">
        <f t="shared" si="0"/>
        <v>215</v>
      </c>
      <c r="C34" s="14">
        <v>1</v>
      </c>
      <c r="D34" s="5">
        <v>40760</v>
      </c>
      <c r="E34" s="6" t="s">
        <v>370</v>
      </c>
      <c r="F34" s="33">
        <f>5*24*60</f>
        <v>7200</v>
      </c>
      <c r="G34" s="31"/>
      <c r="H34" s="31"/>
      <c r="I34" s="31"/>
      <c r="J34" s="31"/>
      <c r="K34" s="31"/>
      <c r="L34" s="6">
        <f t="shared" si="2"/>
        <v>6325</v>
      </c>
      <c r="M34" s="6">
        <f t="shared" si="3"/>
        <v>1154.7817254067252</v>
      </c>
      <c r="N34" s="31"/>
      <c r="O34" s="31"/>
      <c r="P34" s="31"/>
      <c r="Q34" s="31"/>
      <c r="S34" s="31"/>
      <c r="T34" s="31"/>
      <c r="U34" s="43" t="s">
        <v>235</v>
      </c>
      <c r="V34" s="6">
        <f>AVERAGE(V33)</f>
        <v>120</v>
      </c>
      <c r="W34" s="31"/>
      <c r="X34" s="31"/>
      <c r="Y34" s="31"/>
      <c r="Z34" s="31"/>
      <c r="AA34" s="31"/>
      <c r="AB34" s="31"/>
      <c r="AC34" s="31"/>
      <c r="AD34" s="31"/>
      <c r="AE34" s="31"/>
      <c r="AF34" s="31"/>
      <c r="AG34" s="31"/>
    </row>
    <row r="35" spans="2:33" x14ac:dyDescent="0.25">
      <c r="B35" s="6">
        <f t="shared" si="0"/>
        <v>239</v>
      </c>
      <c r="C35" s="14">
        <v>1</v>
      </c>
      <c r="D35" s="5">
        <v>40784</v>
      </c>
      <c r="E35" s="6" t="s">
        <v>370</v>
      </c>
      <c r="F35" s="33">
        <v>180</v>
      </c>
      <c r="G35" s="6">
        <f>COUNT(F34:F35)</f>
        <v>2</v>
      </c>
      <c r="H35" s="6">
        <f>SUM(F34:F35)</f>
        <v>7380</v>
      </c>
      <c r="I35" s="6">
        <f>(518400-H35)/G35</f>
        <v>255510</v>
      </c>
      <c r="J35" s="6">
        <f>INT(I35/60/24)</f>
        <v>177</v>
      </c>
      <c r="K35" s="6">
        <f>H35/G35</f>
        <v>3690</v>
      </c>
      <c r="L35" s="6">
        <f t="shared" si="2"/>
        <v>-695</v>
      </c>
      <c r="M35" s="6">
        <f t="shared" si="3"/>
        <v>126.88905915536348</v>
      </c>
      <c r="N35" s="6">
        <f>G35/365</f>
        <v>5.4794520547945206E-3</v>
      </c>
      <c r="O35" s="6">
        <f>N35*EXP(-N35*365)</f>
        <v>7.4156319581705592E-4</v>
      </c>
      <c r="P35" s="6">
        <f>1-EXP(-N35*365)</f>
        <v>0.8646647167633873</v>
      </c>
      <c r="Q35" s="6">
        <f>EXP(-N35*365)</f>
        <v>0.1353352832366127</v>
      </c>
      <c r="S35" s="6">
        <f>DAYS360($B$5,T35)</f>
        <v>74</v>
      </c>
      <c r="T35" s="5">
        <v>40616</v>
      </c>
      <c r="U35" s="6" t="s">
        <v>347</v>
      </c>
      <c r="V35" s="33">
        <v>120</v>
      </c>
      <c r="W35" s="31"/>
      <c r="X35" s="31"/>
      <c r="Y35" s="31"/>
      <c r="Z35" s="31"/>
      <c r="AA35" s="31"/>
      <c r="AB35" s="31"/>
      <c r="AC35" s="31"/>
      <c r="AD35" s="31"/>
      <c r="AE35" s="31"/>
      <c r="AF35" s="31"/>
      <c r="AG35" s="31"/>
    </row>
    <row r="36" spans="2:33" x14ac:dyDescent="0.25">
      <c r="E36" s="43" t="s">
        <v>235</v>
      </c>
      <c r="F36" s="6">
        <f>AVERAGE(F6:F35)</f>
        <v>875</v>
      </c>
      <c r="S36" s="6">
        <f>DAYS360($B$5,T36)</f>
        <v>173</v>
      </c>
      <c r="T36" s="5">
        <v>40717</v>
      </c>
      <c r="U36" s="6" t="s">
        <v>347</v>
      </c>
      <c r="V36" s="33">
        <v>30</v>
      </c>
      <c r="W36" s="31"/>
      <c r="X36" s="31"/>
      <c r="Y36" s="31"/>
      <c r="Z36" s="31"/>
      <c r="AA36" s="31"/>
      <c r="AB36" s="31"/>
      <c r="AC36" s="31"/>
      <c r="AD36" s="31"/>
      <c r="AE36" s="31"/>
      <c r="AF36" s="31"/>
      <c r="AG36" s="31"/>
    </row>
    <row r="37" spans="2:33" x14ac:dyDescent="0.25">
      <c r="S37" s="6">
        <f>DAYS360($B$5,T37)</f>
        <v>297</v>
      </c>
      <c r="T37" s="5">
        <v>40843</v>
      </c>
      <c r="U37" s="6" t="s">
        <v>347</v>
      </c>
      <c r="V37" s="33">
        <v>180</v>
      </c>
      <c r="W37" s="31"/>
      <c r="X37" s="31"/>
      <c r="Y37" s="31"/>
      <c r="Z37" s="31"/>
      <c r="AA37" s="31"/>
      <c r="AB37" s="31"/>
      <c r="AC37" s="31"/>
      <c r="AD37" s="31"/>
      <c r="AE37" s="31"/>
      <c r="AF37" s="31"/>
      <c r="AG37" s="31"/>
    </row>
    <row r="38" spans="2:33" x14ac:dyDescent="0.25">
      <c r="B38" s="32" t="s">
        <v>193</v>
      </c>
      <c r="S38" s="6">
        <f>DAYS360($B$5,T38)</f>
        <v>332</v>
      </c>
      <c r="T38" s="5">
        <v>40879</v>
      </c>
      <c r="U38" s="6" t="s">
        <v>347</v>
      </c>
      <c r="V38" s="33">
        <v>30</v>
      </c>
      <c r="W38" s="6">
        <f>COUNT(V35:V38)</f>
        <v>4</v>
      </c>
      <c r="X38" s="6">
        <f>SUM(V35:V38)</f>
        <v>360</v>
      </c>
      <c r="Y38" s="6">
        <f>(518400-X38)/W38</f>
        <v>129510</v>
      </c>
      <c r="Z38" s="6">
        <f>INT(Y38/60/24)</f>
        <v>89</v>
      </c>
      <c r="AA38" s="6">
        <f>X38/W38</f>
        <v>90</v>
      </c>
      <c r="AB38" s="6">
        <f>X38-V39</f>
        <v>330</v>
      </c>
      <c r="AC38" s="33">
        <f>SQRT((AB38*AB38)/COUNT(S35:S38))</f>
        <v>165</v>
      </c>
      <c r="AD38" s="6">
        <f>W38/365</f>
        <v>1.0958904109589041E-2</v>
      </c>
      <c r="AE38" s="6">
        <f>AD38*EXP(-AD38*365)</f>
        <v>2.0071933028749785E-4</v>
      </c>
      <c r="AF38" s="6">
        <f>1-EXP(-AD38*365)</f>
        <v>0.98168436111126578</v>
      </c>
      <c r="AG38" s="6">
        <f>EXP(-AD38*365)</f>
        <v>1.8315638888734179E-2</v>
      </c>
    </row>
    <row r="39" spans="2:33" x14ac:dyDescent="0.25">
      <c r="B39" t="s">
        <v>255</v>
      </c>
      <c r="S39" s="31"/>
      <c r="T39" s="31"/>
      <c r="U39" s="43" t="s">
        <v>235</v>
      </c>
      <c r="V39" s="6">
        <f>AVERAGE(V38)</f>
        <v>30</v>
      </c>
      <c r="W39" s="31"/>
      <c r="X39" s="31"/>
      <c r="Y39" s="31"/>
      <c r="Z39" s="31"/>
      <c r="AA39" s="31"/>
      <c r="AB39" s="31"/>
      <c r="AC39" s="31"/>
      <c r="AD39" s="31"/>
      <c r="AE39" s="31"/>
      <c r="AF39" s="31"/>
      <c r="AG39" s="31"/>
    </row>
    <row r="40" spans="2:33" x14ac:dyDescent="0.25">
      <c r="S40" s="6">
        <f>DAYS360($B$5,T40)</f>
        <v>20</v>
      </c>
      <c r="T40" s="5">
        <v>40563</v>
      </c>
      <c r="U40" s="6" t="s">
        <v>349</v>
      </c>
      <c r="V40" s="33">
        <v>60</v>
      </c>
      <c r="W40" s="31"/>
      <c r="X40" s="31"/>
      <c r="Y40" s="31"/>
      <c r="Z40" s="31"/>
      <c r="AA40" s="31"/>
      <c r="AB40" s="31"/>
      <c r="AC40" s="31"/>
      <c r="AD40" s="31"/>
      <c r="AE40" s="31"/>
      <c r="AF40" s="31"/>
      <c r="AG40" s="31"/>
    </row>
    <row r="41" spans="2:33" x14ac:dyDescent="0.25">
      <c r="B41" s="37" t="s">
        <v>209</v>
      </c>
      <c r="S41" s="6">
        <f>DAYS360($B$5,T41)</f>
        <v>21</v>
      </c>
      <c r="T41" s="5">
        <v>40564</v>
      </c>
      <c r="U41" s="6" t="s">
        <v>349</v>
      </c>
      <c r="V41" s="33">
        <v>60</v>
      </c>
      <c r="W41" s="31"/>
      <c r="X41" s="31"/>
      <c r="Y41" s="31"/>
      <c r="Z41" s="31"/>
      <c r="AA41" s="31"/>
      <c r="AB41" s="31"/>
      <c r="AC41" s="31"/>
      <c r="AD41" s="31"/>
      <c r="AE41" s="31"/>
      <c r="AF41" s="31"/>
      <c r="AG41" s="31"/>
    </row>
    <row r="42" spans="2:33" x14ac:dyDescent="0.25">
      <c r="B42" s="37" t="s">
        <v>210</v>
      </c>
      <c r="S42" s="6">
        <f>DAYS360($B$5,T42)</f>
        <v>55</v>
      </c>
      <c r="T42" s="5">
        <v>40599</v>
      </c>
      <c r="U42" s="6" t="s">
        <v>349</v>
      </c>
      <c r="V42" s="33">
        <f>8*60</f>
        <v>480</v>
      </c>
      <c r="W42" s="31"/>
      <c r="X42" s="31"/>
      <c r="Y42" s="31"/>
      <c r="Z42" s="31"/>
      <c r="AA42" s="31"/>
      <c r="AB42" s="31"/>
      <c r="AC42" s="31"/>
      <c r="AD42" s="31"/>
      <c r="AE42" s="31"/>
      <c r="AF42" s="31"/>
      <c r="AG42" s="31"/>
    </row>
    <row r="43" spans="2:33" x14ac:dyDescent="0.25">
      <c r="B43" s="40" t="s">
        <v>222</v>
      </c>
      <c r="S43" s="6">
        <f>DAYS360($B$5,T43)</f>
        <v>61</v>
      </c>
      <c r="T43" s="5">
        <v>40603</v>
      </c>
      <c r="U43" s="6" t="s">
        <v>349</v>
      </c>
      <c r="V43" s="33">
        <v>240</v>
      </c>
      <c r="W43" s="31"/>
      <c r="X43" s="31"/>
      <c r="Y43" s="31"/>
      <c r="Z43" s="31"/>
      <c r="AA43" s="31"/>
      <c r="AB43" s="31"/>
      <c r="AC43" s="31"/>
      <c r="AD43" s="31"/>
      <c r="AE43" s="31"/>
      <c r="AF43" s="31"/>
      <c r="AG43" s="31"/>
    </row>
    <row r="44" spans="2:33" x14ac:dyDescent="0.25">
      <c r="B44" s="40" t="s">
        <v>232</v>
      </c>
      <c r="S44" s="6">
        <f>DAYS360($B$5,T44)</f>
        <v>76</v>
      </c>
      <c r="T44" s="5">
        <v>40618</v>
      </c>
      <c r="U44" s="6" t="s">
        <v>349</v>
      </c>
      <c r="V44" s="33">
        <v>30</v>
      </c>
      <c r="W44" s="6">
        <f>COUNT(V40:V44)</f>
        <v>5</v>
      </c>
      <c r="X44" s="6">
        <f>SUM(V40:V44)</f>
        <v>870</v>
      </c>
      <c r="Y44" s="6">
        <f>(518400-X44)/W44</f>
        <v>103506</v>
      </c>
      <c r="Z44" s="6">
        <f>INT(Y44/60/24)</f>
        <v>71</v>
      </c>
      <c r="AA44" s="6">
        <f>X44/W44</f>
        <v>174</v>
      </c>
      <c r="AB44" s="6">
        <f>X44-V45</f>
        <v>840</v>
      </c>
      <c r="AC44" s="33">
        <f>SQRT((AB44*AB44)/COUNT(S44))</f>
        <v>840</v>
      </c>
      <c r="AD44" s="6">
        <f>W44/365</f>
        <v>1.3698630136986301E-2</v>
      </c>
      <c r="AE44" s="6">
        <f>AD44*EXP(-AD44*365)</f>
        <v>9.2300643823088586E-5</v>
      </c>
      <c r="AF44" s="6">
        <f>1-EXP(-AD44*365)</f>
        <v>0.99326205300091452</v>
      </c>
      <c r="AG44" s="6">
        <f>EXP(-AD44*365)</f>
        <v>6.737946999085467E-3</v>
      </c>
    </row>
    <row r="45" spans="2:33" x14ac:dyDescent="0.25">
      <c r="B45" s="40"/>
      <c r="S45" s="31"/>
      <c r="T45" s="31"/>
      <c r="U45" s="43" t="s">
        <v>235</v>
      </c>
      <c r="V45" s="6">
        <f>AVERAGE(V44)</f>
        <v>30</v>
      </c>
      <c r="W45" s="31"/>
      <c r="X45" s="31"/>
      <c r="Y45" s="31"/>
      <c r="Z45" s="31"/>
      <c r="AA45" s="31"/>
      <c r="AB45" s="31"/>
      <c r="AC45" s="31"/>
      <c r="AD45" s="31"/>
      <c r="AE45" s="31"/>
      <c r="AF45" s="31"/>
      <c r="AG45" s="31"/>
    </row>
    <row r="46" spans="2:33" x14ac:dyDescent="0.25">
      <c r="B46" t="s">
        <v>234</v>
      </c>
      <c r="S46" s="6">
        <f>DAYS360($B$5,T46)</f>
        <v>295</v>
      </c>
      <c r="T46" s="5">
        <v>40841</v>
      </c>
      <c r="U46" s="6" t="s">
        <v>348</v>
      </c>
      <c r="V46" s="33">
        <v>180</v>
      </c>
      <c r="W46" s="6">
        <f>COUNT(V46:V46)</f>
        <v>1</v>
      </c>
      <c r="X46" s="6">
        <f>SUM(V46:V46)</f>
        <v>180</v>
      </c>
      <c r="Y46" s="6">
        <f>(518400-X46)/W46</f>
        <v>518220</v>
      </c>
      <c r="Z46" s="6">
        <f>INT(Y46/60/24)</f>
        <v>359</v>
      </c>
      <c r="AA46" s="6">
        <f>X46/W46</f>
        <v>180</v>
      </c>
      <c r="AB46" s="6">
        <f>X46-V47</f>
        <v>0</v>
      </c>
      <c r="AC46" s="33">
        <f>SQRT((AB46*AB46)/COUNT(S46))</f>
        <v>0</v>
      </c>
      <c r="AD46" s="6">
        <f>W46/365</f>
        <v>2.7397260273972603E-3</v>
      </c>
      <c r="AE46" s="6">
        <f>AD46*EXP(-AD46*365)</f>
        <v>1.0078888799217598E-3</v>
      </c>
      <c r="AF46" s="6">
        <f>1-EXP(-AD46*365)</f>
        <v>0.63212055882855767</v>
      </c>
      <c r="AG46" s="6">
        <f>EXP(-AD46*365)</f>
        <v>0.36787944117144233</v>
      </c>
    </row>
    <row r="47" spans="2:33" x14ac:dyDescent="0.25">
      <c r="S47" s="31"/>
      <c r="T47" s="31"/>
      <c r="U47" s="43" t="s">
        <v>235</v>
      </c>
      <c r="V47" s="6">
        <f>AVERAGE(V46)</f>
        <v>180</v>
      </c>
      <c r="W47" s="31"/>
      <c r="X47" s="31"/>
      <c r="Y47" s="31"/>
      <c r="Z47" s="31"/>
      <c r="AA47" s="31"/>
      <c r="AB47" s="31"/>
      <c r="AC47" s="31"/>
      <c r="AD47" s="31"/>
      <c r="AE47" s="31"/>
      <c r="AF47" s="31"/>
      <c r="AG47" s="31"/>
    </row>
    <row r="48" spans="2:33" x14ac:dyDescent="0.25">
      <c r="B48" t="s">
        <v>225</v>
      </c>
      <c r="S48" s="6">
        <f>DAYS360($B$5,T48)</f>
        <v>78</v>
      </c>
      <c r="T48" s="5">
        <v>40620</v>
      </c>
      <c r="U48" s="6" t="s">
        <v>350</v>
      </c>
      <c r="V48" s="33">
        <v>300</v>
      </c>
      <c r="W48" s="6">
        <f>COUNT(V48:V48)</f>
        <v>1</v>
      </c>
      <c r="X48" s="6">
        <f>SUM(V48:V48)</f>
        <v>300</v>
      </c>
      <c r="Y48" s="6">
        <f>(518400-X48)/W48</f>
        <v>518100</v>
      </c>
      <c r="Z48" s="6">
        <f>INT(Y48/60/24)</f>
        <v>359</v>
      </c>
      <c r="AA48" s="6">
        <f>X48/W48</f>
        <v>300</v>
      </c>
      <c r="AB48" s="6">
        <f>X48-V49</f>
        <v>0</v>
      </c>
      <c r="AC48" s="33">
        <f>SQRT((AB48*AB48)/COUNT(S48))</f>
        <v>0</v>
      </c>
      <c r="AD48" s="6">
        <f>W48/365</f>
        <v>2.7397260273972603E-3</v>
      </c>
      <c r="AE48" s="6">
        <f>AD48*EXP(-AD48*365)</f>
        <v>1.0078888799217598E-3</v>
      </c>
      <c r="AF48" s="6">
        <f>1-EXP(-AD48*365)</f>
        <v>0.63212055882855767</v>
      </c>
      <c r="AG48" s="6">
        <f>EXP(-AD48*365)</f>
        <v>0.36787944117144233</v>
      </c>
    </row>
    <row r="49" spans="2:33" x14ac:dyDescent="0.25">
      <c r="C49" t="s">
        <v>226</v>
      </c>
      <c r="S49" s="31"/>
      <c r="T49" s="31"/>
      <c r="U49" s="43" t="s">
        <v>235</v>
      </c>
      <c r="V49" s="6">
        <f>AVERAGE(V48)</f>
        <v>300</v>
      </c>
      <c r="W49" s="31"/>
      <c r="X49" s="31"/>
      <c r="Y49" s="31"/>
      <c r="Z49" s="31"/>
      <c r="AA49" s="31"/>
      <c r="AB49" s="31"/>
      <c r="AC49" s="31"/>
      <c r="AD49" s="31"/>
      <c r="AE49" s="31"/>
      <c r="AF49" s="31"/>
      <c r="AG49" s="31"/>
    </row>
    <row r="50" spans="2:33" x14ac:dyDescent="0.25">
      <c r="C50" t="s">
        <v>227</v>
      </c>
      <c r="S50" s="6">
        <f>DAYS360($B$5,T50)</f>
        <v>211</v>
      </c>
      <c r="T50" s="5">
        <v>40756</v>
      </c>
      <c r="U50" s="6" t="s">
        <v>351</v>
      </c>
      <c r="V50" s="33">
        <v>60</v>
      </c>
      <c r="W50" s="31"/>
      <c r="X50" s="31"/>
      <c r="Y50" s="31"/>
      <c r="Z50" s="31"/>
      <c r="AA50" s="31"/>
      <c r="AB50" s="31"/>
      <c r="AC50" s="31"/>
      <c r="AD50" s="31"/>
      <c r="AE50" s="31"/>
      <c r="AF50" s="31"/>
      <c r="AG50" s="31"/>
    </row>
    <row r="51" spans="2:33" x14ac:dyDescent="0.25">
      <c r="C51" t="s">
        <v>228</v>
      </c>
      <c r="S51" s="6">
        <f>DAYS360($B$5,T51)</f>
        <v>233</v>
      </c>
      <c r="T51" s="5">
        <v>40778</v>
      </c>
      <c r="U51" s="6" t="s">
        <v>351</v>
      </c>
      <c r="V51" s="33">
        <v>60</v>
      </c>
      <c r="W51" s="31"/>
      <c r="X51" s="31"/>
      <c r="Y51" s="31"/>
      <c r="Z51" s="31"/>
      <c r="AA51" s="31"/>
      <c r="AB51" s="31"/>
      <c r="AC51" s="31"/>
      <c r="AD51" s="31"/>
      <c r="AE51" s="31"/>
      <c r="AF51" s="31"/>
      <c r="AG51" s="31"/>
    </row>
    <row r="52" spans="2:33" x14ac:dyDescent="0.25">
      <c r="S52" s="6">
        <f>DAYS360($B$5,T52)</f>
        <v>296</v>
      </c>
      <c r="T52" s="5">
        <v>40842</v>
      </c>
      <c r="U52" s="6" t="s">
        <v>351</v>
      </c>
      <c r="V52" s="33">
        <v>120</v>
      </c>
      <c r="W52" s="6">
        <f>COUNT(V50:V52)</f>
        <v>3</v>
      </c>
      <c r="X52" s="6">
        <f>SUM(V50:V52)</f>
        <v>240</v>
      </c>
      <c r="Y52" s="6">
        <f>(518400-X52)/W52</f>
        <v>172720</v>
      </c>
      <c r="Z52" s="6">
        <f>INT(Y52/60/24)</f>
        <v>119</v>
      </c>
      <c r="AA52" s="6">
        <f>X52/W52</f>
        <v>80</v>
      </c>
      <c r="AB52" s="6">
        <f>X52-V53</f>
        <v>120</v>
      </c>
      <c r="AC52" s="33">
        <f>SQRT((AB52*AB52)/COUNT(S50:S52))</f>
        <v>69.282032302755098</v>
      </c>
      <c r="AD52" s="6">
        <f>W52/365</f>
        <v>8.21917808219178E-3</v>
      </c>
      <c r="AE52" s="6">
        <f>AD52*EXP(-AD52*365)</f>
        <v>4.0920878110573119E-4</v>
      </c>
      <c r="AF52" s="6">
        <f>1-EXP(-AD52*365)</f>
        <v>0.95021293163213605</v>
      </c>
      <c r="AG52" s="6">
        <f>EXP(-AD52*365)</f>
        <v>4.9787068367863965E-2</v>
      </c>
    </row>
    <row r="53" spans="2:33" x14ac:dyDescent="0.25">
      <c r="B53" t="s">
        <v>229</v>
      </c>
      <c r="S53" s="31"/>
      <c r="T53" s="31"/>
      <c r="U53" s="43" t="s">
        <v>235</v>
      </c>
      <c r="V53" s="6">
        <f>AVERAGE(V52)</f>
        <v>120</v>
      </c>
      <c r="W53" s="31"/>
      <c r="X53" s="31"/>
      <c r="Y53" s="31"/>
      <c r="Z53" s="31"/>
      <c r="AA53" s="31"/>
      <c r="AB53" s="31"/>
      <c r="AC53" s="31"/>
      <c r="AD53" s="31"/>
      <c r="AE53" s="31"/>
      <c r="AF53" s="31"/>
      <c r="AG53" s="31"/>
    </row>
    <row r="54" spans="2:33" x14ac:dyDescent="0.25">
      <c r="S54" s="6">
        <f>DAYS360($B$5,T54)</f>
        <v>137</v>
      </c>
      <c r="T54" s="5">
        <v>40680</v>
      </c>
      <c r="U54" s="6" t="s">
        <v>417</v>
      </c>
      <c r="V54" s="33">
        <v>120</v>
      </c>
      <c r="W54" s="6">
        <f>COUNT(V54:V54)</f>
        <v>1</v>
      </c>
      <c r="X54" s="6">
        <f>SUM(V54:V54)</f>
        <v>120</v>
      </c>
      <c r="Y54" s="6">
        <f>(518400-X54)/W54</f>
        <v>518280</v>
      </c>
      <c r="Z54" s="6">
        <f>INT(Y54/60/24)</f>
        <v>359</v>
      </c>
      <c r="AA54" s="6">
        <f>X54/W54</f>
        <v>120</v>
      </c>
      <c r="AB54" s="6">
        <f>X54-V55</f>
        <v>0</v>
      </c>
      <c r="AC54" s="33">
        <f>SQRT((AB54*AB54)/COUNT(S54))</f>
        <v>0</v>
      </c>
      <c r="AD54" s="6">
        <f>W54/365</f>
        <v>2.7397260273972603E-3</v>
      </c>
      <c r="AE54" s="6">
        <f>AD54*EXP(-AD54*365)</f>
        <v>1.0078888799217598E-3</v>
      </c>
      <c r="AF54" s="6">
        <f>1-EXP(-AD54*365)</f>
        <v>0.63212055882855767</v>
      </c>
      <c r="AG54" s="6">
        <f>EXP(-AD54*365)</f>
        <v>0.36787944117144233</v>
      </c>
    </row>
    <row r="55" spans="2:33" x14ac:dyDescent="0.25">
      <c r="S55" s="31"/>
      <c r="T55" s="31"/>
      <c r="U55" s="43" t="s">
        <v>235</v>
      </c>
      <c r="V55" s="6">
        <f>AVERAGE(V54)</f>
        <v>120</v>
      </c>
      <c r="W55" s="31"/>
      <c r="X55" s="31"/>
      <c r="Y55" s="31"/>
      <c r="Z55" s="31"/>
      <c r="AA55" s="31"/>
      <c r="AB55" s="31"/>
      <c r="AC55" s="31"/>
      <c r="AD55" s="31"/>
      <c r="AE55" s="31"/>
      <c r="AF55" s="31"/>
      <c r="AG55" s="31"/>
    </row>
    <row r="56" spans="2:33" x14ac:dyDescent="0.25">
      <c r="S56" s="6">
        <f>DAYS360($B$5,T56)</f>
        <v>112</v>
      </c>
      <c r="T56" s="5">
        <v>40655</v>
      </c>
      <c r="U56" s="6" t="s">
        <v>396</v>
      </c>
      <c r="V56" s="33">
        <v>360</v>
      </c>
      <c r="W56" s="6">
        <f>COUNT(V56:V56)</f>
        <v>1</v>
      </c>
      <c r="X56" s="6">
        <f>SUM(V56:V56)</f>
        <v>360</v>
      </c>
      <c r="Y56" s="6">
        <f>(518400-X56)/W56</f>
        <v>518040</v>
      </c>
      <c r="Z56" s="6">
        <f>INT(Y56/60/24)</f>
        <v>359</v>
      </c>
      <c r="AA56" s="6">
        <f>X56/W56</f>
        <v>360</v>
      </c>
      <c r="AB56" s="6">
        <f>X56-V57</f>
        <v>0</v>
      </c>
      <c r="AC56" s="33">
        <f>SQRT((AB56*AB56)/COUNT(S56))</f>
        <v>0</v>
      </c>
      <c r="AD56" s="6">
        <f>W56/365</f>
        <v>2.7397260273972603E-3</v>
      </c>
      <c r="AE56" s="6">
        <f>AD56*EXP(-AD56*365)</f>
        <v>1.0078888799217598E-3</v>
      </c>
      <c r="AF56" s="6">
        <f>1-EXP(-AD56*365)</f>
        <v>0.63212055882855767</v>
      </c>
      <c r="AG56" s="6">
        <f>EXP(-AD56*365)</f>
        <v>0.36787944117144233</v>
      </c>
    </row>
    <row r="57" spans="2:33" x14ac:dyDescent="0.25">
      <c r="S57" s="31"/>
      <c r="T57" s="31"/>
      <c r="U57" s="43" t="s">
        <v>235</v>
      </c>
      <c r="V57" s="6">
        <f>AVERAGE(V56)</f>
        <v>360</v>
      </c>
      <c r="W57" s="31"/>
      <c r="X57" s="31"/>
      <c r="Y57" s="31"/>
      <c r="Z57" s="31"/>
      <c r="AA57" s="31"/>
      <c r="AB57" s="31"/>
      <c r="AC57" s="31"/>
      <c r="AD57" s="31"/>
      <c r="AE57" s="31"/>
      <c r="AF57" s="31"/>
      <c r="AG57" s="31"/>
    </row>
  </sheetData>
  <sheetProtection sheet="1" objects="1" scenarios="1"/>
  <sortState ref="S6:Z40">
    <sortCondition ref="U6:U40"/>
  </sortState>
  <mergeCells count="2">
    <mergeCell ref="B2:Q3"/>
    <mergeCell ref="S2:AG3"/>
  </mergeCells>
  <pageMargins left="0.7" right="0.7" top="0.75" bottom="0.75" header="0.3" footer="0.3"/>
  <pageSetup paperSize="9" orientation="portrait" horizontalDpi="300" verticalDpi="0" copies="0" r:id="rId1"/>
  <drawing r:id="rId2"/>
  <legacyDrawing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sheetPr>
  <dimension ref="A1:J85"/>
  <sheetViews>
    <sheetView zoomScale="85" zoomScaleNormal="85" workbookViewId="0">
      <selection activeCell="BI32" sqref="BI32"/>
    </sheetView>
  </sheetViews>
  <sheetFormatPr defaultRowHeight="15" x14ac:dyDescent="0.25"/>
  <cols>
    <col min="1" max="1" width="10.42578125" style="16" bestFit="1" customWidth="1"/>
    <col min="2" max="2" width="24.28515625" style="16" bestFit="1" customWidth="1"/>
    <col min="3" max="3" width="28.7109375" style="16" bestFit="1" customWidth="1"/>
    <col min="4" max="4" width="32.5703125" style="16" bestFit="1" customWidth="1"/>
    <col min="5" max="5" width="11.7109375" style="16" bestFit="1" customWidth="1"/>
    <col min="6" max="6" width="11.28515625" style="16" bestFit="1" customWidth="1"/>
    <col min="7" max="7" width="20.85546875" style="16" bestFit="1" customWidth="1"/>
    <col min="8" max="8" width="17.85546875" style="16" bestFit="1" customWidth="1"/>
    <col min="9" max="10" width="17.5703125" style="16" bestFit="1" customWidth="1"/>
    <col min="11" max="62" width="9.140625" style="16" customWidth="1"/>
    <col min="63" max="16384" width="9.140625" style="16"/>
  </cols>
  <sheetData>
    <row r="1" spans="1:10" ht="15" customHeight="1" x14ac:dyDescent="0.25"/>
    <row r="2" spans="1:10" ht="15" customHeight="1" x14ac:dyDescent="0.25"/>
    <row r="3" spans="1:10" ht="15" customHeight="1" x14ac:dyDescent="0.25">
      <c r="A3" s="17" t="s">
        <v>165</v>
      </c>
      <c r="B3" s="17" t="s">
        <v>212</v>
      </c>
      <c r="C3" s="17" t="s">
        <v>249</v>
      </c>
      <c r="D3" s="17" t="s">
        <v>249</v>
      </c>
      <c r="E3" s="17" t="s">
        <v>208</v>
      </c>
      <c r="F3" s="17" t="s">
        <v>5</v>
      </c>
      <c r="G3" s="17" t="s">
        <v>2</v>
      </c>
      <c r="H3" s="17" t="s">
        <v>0</v>
      </c>
      <c r="I3" s="17" t="s">
        <v>213</v>
      </c>
      <c r="J3" s="17" t="s">
        <v>213</v>
      </c>
    </row>
    <row r="4" spans="1:10" ht="15" customHeight="1" x14ac:dyDescent="0.25">
      <c r="A4" s="17"/>
      <c r="B4" s="17" t="s">
        <v>215</v>
      </c>
      <c r="C4" s="17" t="s">
        <v>250</v>
      </c>
      <c r="D4" s="17" t="s">
        <v>252</v>
      </c>
      <c r="E4" s="17"/>
      <c r="F4" s="17"/>
      <c r="G4" s="17"/>
      <c r="H4" s="17"/>
      <c r="I4" s="17" t="s">
        <v>216</v>
      </c>
      <c r="J4" s="17" t="s">
        <v>216</v>
      </c>
    </row>
    <row r="5" spans="1:10" ht="15" customHeight="1" x14ac:dyDescent="0.25">
      <c r="A5" s="18">
        <v>40543</v>
      </c>
      <c r="B5" s="18" t="s">
        <v>214</v>
      </c>
      <c r="C5" s="18" t="s">
        <v>253</v>
      </c>
      <c r="D5" s="18" t="s">
        <v>254</v>
      </c>
      <c r="E5" s="18" t="s">
        <v>251</v>
      </c>
      <c r="I5" s="16" t="s">
        <v>214</v>
      </c>
      <c r="J5" s="16" t="s">
        <v>187</v>
      </c>
    </row>
    <row r="6" spans="1:10" ht="15" customHeight="1" x14ac:dyDescent="0.25">
      <c r="A6" s="18"/>
      <c r="B6" s="18"/>
      <c r="C6" s="18"/>
      <c r="D6" s="18"/>
      <c r="E6" s="18"/>
    </row>
    <row r="7" spans="1:10" s="28" customFormat="1" ht="15" customHeight="1" x14ac:dyDescent="0.25">
      <c r="A7" s="28">
        <f>DAYS360($A$5,F7)</f>
        <v>40</v>
      </c>
      <c r="B7" s="29">
        <f>A7*24</f>
        <v>960</v>
      </c>
      <c r="C7" s="26">
        <f>1-EXP(-$E$7*A7)</f>
        <v>0.19682132640142547</v>
      </c>
      <c r="D7" s="26">
        <f>EXP(-$E$7*A7)</f>
        <v>0.80317867359857453</v>
      </c>
      <c r="E7" s="26">
        <f>'2011 - MTBF, MTTF, Exponencial'!AD7</f>
        <v>5.4794520547945206E-3</v>
      </c>
      <c r="F7" s="27">
        <v>40584</v>
      </c>
      <c r="G7" s="28" t="s">
        <v>405</v>
      </c>
      <c r="H7" s="28" t="s">
        <v>6</v>
      </c>
      <c r="I7" s="16">
        <f>J7/60</f>
        <v>3</v>
      </c>
      <c r="J7" s="16">
        <v>180</v>
      </c>
    </row>
    <row r="8" spans="1:10" s="28" customFormat="1" ht="15" customHeight="1" x14ac:dyDescent="0.25">
      <c r="A8" s="28">
        <f>DAYS360($A$5,F8)-A7</f>
        <v>214</v>
      </c>
      <c r="B8" s="29">
        <f t="shared" ref="B8:B51" si="0">A8*24</f>
        <v>5136</v>
      </c>
      <c r="C8" s="26">
        <f>1-EXP(-$E$7*A8)</f>
        <v>0.69043981276138522</v>
      </c>
      <c r="D8" s="26">
        <f>EXP(-$E$7*A8)</f>
        <v>0.30956018723861478</v>
      </c>
      <c r="E8" s="54"/>
      <c r="F8" s="27">
        <v>40800</v>
      </c>
      <c r="G8" s="28" t="s">
        <v>405</v>
      </c>
      <c r="H8" s="28" t="s">
        <v>6</v>
      </c>
      <c r="I8" s="16">
        <f t="shared" ref="I8:I50" si="1">J8/60</f>
        <v>4</v>
      </c>
      <c r="J8" s="16">
        <v>240</v>
      </c>
    </row>
    <row r="9" spans="1:10" s="28" customFormat="1" ht="15" customHeight="1" x14ac:dyDescent="0.25">
      <c r="A9" s="38">
        <f>360-SUM(A7:A8)</f>
        <v>106</v>
      </c>
      <c r="B9" s="47">
        <f t="shared" si="0"/>
        <v>2544</v>
      </c>
      <c r="C9" s="26"/>
      <c r="D9" s="26"/>
      <c r="E9" s="26"/>
      <c r="F9" s="27"/>
      <c r="I9" s="16"/>
      <c r="J9" s="16"/>
    </row>
    <row r="10" spans="1:10" s="28" customFormat="1" ht="15" customHeight="1" x14ac:dyDescent="0.25">
      <c r="A10" s="28">
        <f>DAYS360($A$5,F10)</f>
        <v>137</v>
      </c>
      <c r="B10" s="29">
        <f t="shared" si="0"/>
        <v>3288</v>
      </c>
      <c r="C10" s="26">
        <f>1-EXP(-$E$10*A10)</f>
        <v>0.31294605395070729</v>
      </c>
      <c r="D10" s="26">
        <f>EXP(-$E$10*A10)</f>
        <v>0.68705394604929271</v>
      </c>
      <c r="E10" s="56">
        <f>'2011 - MTBF, MTTF, Exponencial'!AD54</f>
        <v>2.7397260273972603E-3</v>
      </c>
      <c r="F10" s="27">
        <v>40680</v>
      </c>
      <c r="G10" s="28" t="s">
        <v>406</v>
      </c>
      <c r="H10" s="28" t="s">
        <v>359</v>
      </c>
      <c r="I10" s="16">
        <f t="shared" si="1"/>
        <v>2</v>
      </c>
      <c r="J10" s="16">
        <v>120</v>
      </c>
    </row>
    <row r="11" spans="1:10" s="28" customFormat="1" ht="15" customHeight="1" x14ac:dyDescent="0.25">
      <c r="A11" s="38">
        <f>360-A10</f>
        <v>223</v>
      </c>
      <c r="B11" s="47">
        <f t="shared" si="0"/>
        <v>5352</v>
      </c>
      <c r="C11" s="26"/>
      <c r="D11" s="26"/>
      <c r="E11" s="56"/>
      <c r="F11" s="27"/>
      <c r="I11" s="16"/>
      <c r="J11" s="16"/>
    </row>
    <row r="12" spans="1:10" s="28" customFormat="1" ht="15" customHeight="1" x14ac:dyDescent="0.25">
      <c r="A12" s="28">
        <f>DAYS360($A$5,F12)</f>
        <v>18</v>
      </c>
      <c r="B12" s="29">
        <f t="shared" si="0"/>
        <v>432</v>
      </c>
      <c r="C12" s="26">
        <f>1-EXP(-$E$12*A12)</f>
        <v>4.8118825319566683E-2</v>
      </c>
      <c r="D12" s="26">
        <f>EXP(-$E$12*A12)</f>
        <v>0.95188117468043332</v>
      </c>
      <c r="E12" s="56">
        <f>'2011 - MTBF, MTTF, Exponencial'!AD20</f>
        <v>2.7397260273972603E-3</v>
      </c>
      <c r="F12" s="27">
        <v>40561</v>
      </c>
      <c r="G12" s="28" t="s">
        <v>326</v>
      </c>
      <c r="H12" s="28" t="s">
        <v>369</v>
      </c>
      <c r="I12" s="16">
        <f t="shared" si="1"/>
        <v>240</v>
      </c>
      <c r="J12" s="28">
        <f>10*24*60</f>
        <v>14400</v>
      </c>
    </row>
    <row r="13" spans="1:10" s="28" customFormat="1" ht="15" customHeight="1" x14ac:dyDescent="0.25">
      <c r="A13" s="38">
        <f>360-A12</f>
        <v>342</v>
      </c>
      <c r="B13" s="47">
        <f t="shared" si="0"/>
        <v>8208</v>
      </c>
      <c r="C13" s="26"/>
      <c r="D13" s="26"/>
      <c r="E13" s="56"/>
      <c r="F13" s="27"/>
      <c r="I13" s="16"/>
    </row>
    <row r="14" spans="1:10" s="28" customFormat="1" ht="15" customHeight="1" x14ac:dyDescent="0.25">
      <c r="A14" s="28">
        <f>DAYS360($A$5,F14)</f>
        <v>52</v>
      </c>
      <c r="B14" s="29">
        <f t="shared" si="0"/>
        <v>1248</v>
      </c>
      <c r="C14" s="26">
        <f>1-EXP(-$E$14*A14)</f>
        <v>0.13278274699529424</v>
      </c>
      <c r="D14" s="26">
        <f>EXP(-$E$14*A14)</f>
        <v>0.86721725300470576</v>
      </c>
      <c r="E14" s="56">
        <f>'2011 - MTBF, MTTF, Exponencial'!AD22</f>
        <v>2.7397260273972603E-3</v>
      </c>
      <c r="F14" s="27">
        <v>40596</v>
      </c>
      <c r="G14" s="28" t="s">
        <v>326</v>
      </c>
      <c r="H14" s="28" t="s">
        <v>6</v>
      </c>
      <c r="I14" s="16">
        <f t="shared" si="1"/>
        <v>0.5</v>
      </c>
      <c r="J14" s="16">
        <v>30</v>
      </c>
    </row>
    <row r="15" spans="1:10" s="28" customFormat="1" ht="15" customHeight="1" x14ac:dyDescent="0.25">
      <c r="A15" s="38">
        <f>360-A14</f>
        <v>308</v>
      </c>
      <c r="B15" s="47">
        <f t="shared" si="0"/>
        <v>7392</v>
      </c>
      <c r="C15" s="26"/>
      <c r="D15" s="26"/>
      <c r="E15" s="56"/>
      <c r="F15" s="27"/>
      <c r="I15" s="16"/>
      <c r="J15" s="16"/>
    </row>
    <row r="16" spans="1:10" s="28" customFormat="1" ht="15" customHeight="1" x14ac:dyDescent="0.25">
      <c r="A16" s="28">
        <f>DAYS360($A$5,F16)</f>
        <v>41</v>
      </c>
      <c r="B16" s="29">
        <f t="shared" si="0"/>
        <v>984</v>
      </c>
      <c r="C16" s="26">
        <f t="shared" ref="C16:C23" si="2">1-EXP(-$E$16*A16)</f>
        <v>0.59287301387678415</v>
      </c>
      <c r="D16" s="26">
        <f t="shared" ref="D16:D23" si="3">EXP(-$E$16*A16)</f>
        <v>0.40712698612321579</v>
      </c>
      <c r="E16" s="56">
        <f>'2011 - MTBF, MTTF, Exponencial'!AD31</f>
        <v>2.1917808219178082E-2</v>
      </c>
      <c r="F16" s="27">
        <v>40585</v>
      </c>
      <c r="G16" s="28" t="s">
        <v>333</v>
      </c>
      <c r="H16" s="28" t="s">
        <v>353</v>
      </c>
      <c r="I16" s="16">
        <f t="shared" si="1"/>
        <v>6</v>
      </c>
      <c r="J16" s="16">
        <v>360</v>
      </c>
    </row>
    <row r="17" spans="1:10" s="28" customFormat="1" ht="15" customHeight="1" x14ac:dyDescent="0.25">
      <c r="A17" s="28">
        <f>DAYS360($A$5,F17)-A16</f>
        <v>1</v>
      </c>
      <c r="B17" s="29">
        <f t="shared" si="0"/>
        <v>24</v>
      </c>
      <c r="C17" s="26">
        <f t="shared" si="2"/>
        <v>2.1679358337463372E-2</v>
      </c>
      <c r="D17" s="26">
        <f t="shared" si="3"/>
        <v>0.97832064166253663</v>
      </c>
      <c r="E17" s="57"/>
      <c r="F17" s="27">
        <v>40586</v>
      </c>
      <c r="G17" s="28" t="s">
        <v>333</v>
      </c>
      <c r="H17" s="28" t="s">
        <v>353</v>
      </c>
      <c r="I17" s="16">
        <f t="shared" si="1"/>
        <v>3</v>
      </c>
      <c r="J17" s="16">
        <v>180</v>
      </c>
    </row>
    <row r="18" spans="1:10" s="28" customFormat="1" ht="15" customHeight="1" x14ac:dyDescent="0.25">
      <c r="A18" s="28">
        <f>DAYS360($A$5,F18)-SUM(A16:A17)</f>
        <v>2</v>
      </c>
      <c r="B18" s="29">
        <f t="shared" si="0"/>
        <v>48</v>
      </c>
      <c r="C18" s="26">
        <f t="shared" si="2"/>
        <v>4.2888722097002674E-2</v>
      </c>
      <c r="D18" s="26">
        <f t="shared" si="3"/>
        <v>0.95711127790299733</v>
      </c>
      <c r="E18" s="57"/>
      <c r="F18" s="27">
        <v>40588</v>
      </c>
      <c r="G18" s="28" t="s">
        <v>333</v>
      </c>
      <c r="H18" s="28" t="s">
        <v>353</v>
      </c>
      <c r="I18" s="16">
        <f t="shared" si="1"/>
        <v>2</v>
      </c>
      <c r="J18" s="16">
        <v>120</v>
      </c>
    </row>
    <row r="19" spans="1:10" s="28" customFormat="1" ht="15" customHeight="1" x14ac:dyDescent="0.25">
      <c r="A19" s="28">
        <f>DAYS360($A$5,F19)-SUM(A16:A18)</f>
        <v>57</v>
      </c>
      <c r="B19" s="29">
        <f t="shared" si="0"/>
        <v>1368</v>
      </c>
      <c r="C19" s="26">
        <f t="shared" si="2"/>
        <v>0.71329889975806571</v>
      </c>
      <c r="D19" s="26">
        <f t="shared" si="3"/>
        <v>0.28670110024193429</v>
      </c>
      <c r="E19" s="57"/>
      <c r="F19" s="27">
        <v>40644</v>
      </c>
      <c r="G19" s="28" t="s">
        <v>333</v>
      </c>
      <c r="H19" s="28" t="s">
        <v>353</v>
      </c>
      <c r="I19" s="16">
        <f t="shared" si="1"/>
        <v>6</v>
      </c>
      <c r="J19" s="16">
        <v>360</v>
      </c>
    </row>
    <row r="20" spans="1:10" s="28" customFormat="1" ht="15" customHeight="1" x14ac:dyDescent="0.25">
      <c r="A20" s="28">
        <f>DAYS360($A$5,F20)-SUM(A16:A19)</f>
        <v>36</v>
      </c>
      <c r="B20" s="29">
        <f t="shared" si="0"/>
        <v>864</v>
      </c>
      <c r="C20" s="26">
        <f t="shared" si="2"/>
        <v>0.54571980235713857</v>
      </c>
      <c r="D20" s="26">
        <f t="shared" si="3"/>
        <v>0.45428019764286148</v>
      </c>
      <c r="E20" s="57"/>
      <c r="F20" s="27">
        <v>40680</v>
      </c>
      <c r="G20" s="28" t="s">
        <v>333</v>
      </c>
      <c r="H20" s="28" t="s">
        <v>353</v>
      </c>
      <c r="I20" s="16">
        <f t="shared" si="1"/>
        <v>2</v>
      </c>
      <c r="J20" s="16">
        <v>120</v>
      </c>
    </row>
    <row r="21" spans="1:10" s="28" customFormat="1" ht="15" customHeight="1" x14ac:dyDescent="0.25">
      <c r="A21" s="28">
        <f>DAYS360($A$5,F21)-SUM(A16:A20)</f>
        <v>0</v>
      </c>
      <c r="B21" s="29">
        <f t="shared" si="0"/>
        <v>0</v>
      </c>
      <c r="C21" s="26">
        <f t="shared" si="2"/>
        <v>0</v>
      </c>
      <c r="D21" s="26">
        <f t="shared" si="3"/>
        <v>1</v>
      </c>
      <c r="E21" s="57"/>
      <c r="F21" s="27">
        <v>40680</v>
      </c>
      <c r="G21" s="28" t="s">
        <v>333</v>
      </c>
      <c r="H21" s="28" t="s">
        <v>353</v>
      </c>
      <c r="I21" s="16">
        <f t="shared" si="1"/>
        <v>0.5</v>
      </c>
      <c r="J21" s="16">
        <v>30</v>
      </c>
    </row>
    <row r="22" spans="1:10" s="28" customFormat="1" ht="15" customHeight="1" x14ac:dyDescent="0.25">
      <c r="A22" s="28">
        <f>DAYS360($A$5,F22)-SUM(A16:A21)</f>
        <v>7</v>
      </c>
      <c r="B22" s="29">
        <f t="shared" si="0"/>
        <v>168</v>
      </c>
      <c r="C22" s="26">
        <f t="shared" si="2"/>
        <v>0.14223461207629395</v>
      </c>
      <c r="D22" s="26">
        <f t="shared" si="3"/>
        <v>0.85776538792370605</v>
      </c>
      <c r="E22" s="57"/>
      <c r="F22" s="27">
        <v>40687</v>
      </c>
      <c r="G22" s="28" t="s">
        <v>333</v>
      </c>
      <c r="H22" s="28" t="s">
        <v>353</v>
      </c>
      <c r="I22" s="16">
        <f t="shared" si="1"/>
        <v>3</v>
      </c>
      <c r="J22" s="16">
        <v>180</v>
      </c>
    </row>
    <row r="23" spans="1:10" s="28" customFormat="1" ht="15" customHeight="1" x14ac:dyDescent="0.25">
      <c r="A23" s="28">
        <f>DAYS360($A$5,F23)-SUM(A16:A22)</f>
        <v>72</v>
      </c>
      <c r="B23" s="29">
        <f t="shared" si="0"/>
        <v>1728</v>
      </c>
      <c r="C23" s="26">
        <f t="shared" si="2"/>
        <v>0.79362950202956273</v>
      </c>
      <c r="D23" s="26">
        <f t="shared" si="3"/>
        <v>0.2063704979704373</v>
      </c>
      <c r="E23" s="57"/>
      <c r="F23" s="27">
        <v>40761</v>
      </c>
      <c r="G23" s="28" t="s">
        <v>333</v>
      </c>
      <c r="H23" s="28" t="s">
        <v>353</v>
      </c>
      <c r="I23" s="16">
        <f t="shared" si="1"/>
        <v>2</v>
      </c>
      <c r="J23" s="16">
        <v>120</v>
      </c>
    </row>
    <row r="24" spans="1:10" s="28" customFormat="1" ht="15" customHeight="1" x14ac:dyDescent="0.25">
      <c r="A24" s="38">
        <f>360-SUM(A16:A23)</f>
        <v>144</v>
      </c>
      <c r="B24" s="47">
        <f t="shared" si="0"/>
        <v>3456</v>
      </c>
      <c r="C24" s="26"/>
      <c r="D24" s="26"/>
      <c r="E24" s="56"/>
      <c r="F24" s="27"/>
      <c r="I24" s="16"/>
      <c r="J24" s="16"/>
    </row>
    <row r="25" spans="1:10" s="28" customFormat="1" ht="15" customHeight="1" x14ac:dyDescent="0.25">
      <c r="A25" s="28">
        <f>DAYS360($A$5,F25)</f>
        <v>45</v>
      </c>
      <c r="B25" s="29">
        <f t="shared" si="0"/>
        <v>1080</v>
      </c>
      <c r="C25" s="26">
        <f>1-EXP(-$E$25*A25)</f>
        <v>0.11599067807218033</v>
      </c>
      <c r="D25" s="26">
        <f>EXP(-$E$25*A25)</f>
        <v>0.88400932192781967</v>
      </c>
      <c r="E25" s="56">
        <f>'2011 - MTBF, MTTF, Exponencial'!AD33</f>
        <v>2.7397260273972603E-3</v>
      </c>
      <c r="F25" s="27">
        <v>40589</v>
      </c>
      <c r="G25" s="28" t="s">
        <v>333</v>
      </c>
      <c r="H25" s="28" t="s">
        <v>359</v>
      </c>
      <c r="I25" s="16">
        <f t="shared" si="1"/>
        <v>2</v>
      </c>
      <c r="J25" s="16">
        <v>120</v>
      </c>
    </row>
    <row r="26" spans="1:10" s="28" customFormat="1" ht="15" customHeight="1" x14ac:dyDescent="0.25">
      <c r="A26" s="38">
        <f>360-A25</f>
        <v>315</v>
      </c>
      <c r="B26" s="47">
        <f t="shared" si="0"/>
        <v>7560</v>
      </c>
      <c r="C26" s="26"/>
      <c r="D26" s="26"/>
      <c r="E26" s="56"/>
      <c r="F26" s="27"/>
      <c r="I26" s="16"/>
      <c r="J26" s="16"/>
    </row>
    <row r="27" spans="1:10" s="28" customFormat="1" ht="15" customHeight="1" x14ac:dyDescent="0.25">
      <c r="A27" s="28">
        <f>DAYS360($A$5,F27)</f>
        <v>74</v>
      </c>
      <c r="B27" s="29">
        <f t="shared" si="0"/>
        <v>1776</v>
      </c>
      <c r="C27" s="26">
        <f>1-EXP(-$E$27*A27)</f>
        <v>0.55556830554745185</v>
      </c>
      <c r="D27" s="26">
        <f>EXP(-$E$27*A27)</f>
        <v>0.44443169445254815</v>
      </c>
      <c r="E27" s="56">
        <f>'2011 - MTBF, MTTF, Exponencial'!AD38</f>
        <v>1.0958904109589041E-2</v>
      </c>
      <c r="F27" s="27">
        <v>40616</v>
      </c>
      <c r="G27" s="28" t="s">
        <v>342</v>
      </c>
      <c r="H27" s="28" t="s">
        <v>353</v>
      </c>
      <c r="I27" s="16">
        <f t="shared" si="1"/>
        <v>2</v>
      </c>
      <c r="J27" s="16">
        <v>120</v>
      </c>
    </row>
    <row r="28" spans="1:10" s="28" customFormat="1" ht="15" customHeight="1" x14ac:dyDescent="0.25">
      <c r="A28" s="28">
        <f>DAYS360($A$5,F28)-A27</f>
        <v>99</v>
      </c>
      <c r="B28" s="29">
        <f t="shared" si="0"/>
        <v>2376</v>
      </c>
      <c r="C28" s="26">
        <f>1-EXP(-$E$27*A28)</f>
        <v>0.6620750693547296</v>
      </c>
      <c r="D28" s="26">
        <f>EXP(-$E$27*A28)</f>
        <v>0.3379249306452704</v>
      </c>
      <c r="E28" s="57"/>
      <c r="F28" s="27">
        <v>40717</v>
      </c>
      <c r="G28" s="28" t="s">
        <v>342</v>
      </c>
      <c r="H28" s="28" t="s">
        <v>353</v>
      </c>
      <c r="I28" s="16">
        <f t="shared" si="1"/>
        <v>0.5</v>
      </c>
      <c r="J28" s="16">
        <v>30</v>
      </c>
    </row>
    <row r="29" spans="1:10" s="28" customFormat="1" ht="15" customHeight="1" x14ac:dyDescent="0.25">
      <c r="A29" s="28">
        <f>DAYS360($A$5,F29)-A28-A27</f>
        <v>124</v>
      </c>
      <c r="B29" s="29">
        <f t="shared" si="0"/>
        <v>2976</v>
      </c>
      <c r="C29" s="26">
        <f>1-EXP(-$E$27*A29)</f>
        <v>0.74305779678410588</v>
      </c>
      <c r="D29" s="26">
        <f>EXP(-$E$27*A29)</f>
        <v>0.25694220321589417</v>
      </c>
      <c r="E29" s="57"/>
      <c r="F29" s="27">
        <v>40843</v>
      </c>
      <c r="G29" s="28" t="s">
        <v>342</v>
      </c>
      <c r="H29" s="28" t="s">
        <v>353</v>
      </c>
      <c r="I29" s="16">
        <f t="shared" si="1"/>
        <v>3</v>
      </c>
      <c r="J29" s="16">
        <v>180</v>
      </c>
    </row>
    <row r="30" spans="1:10" s="28" customFormat="1" ht="15" customHeight="1" x14ac:dyDescent="0.25">
      <c r="A30" s="28">
        <f>DAYS360($A$5,F30)-A29-A28-A27</f>
        <v>35</v>
      </c>
      <c r="B30" s="29">
        <f t="shared" si="0"/>
        <v>840</v>
      </c>
      <c r="C30" s="26">
        <f>1-EXP(-$E$27*A30)</f>
        <v>0.31856992920924154</v>
      </c>
      <c r="D30" s="26">
        <f>EXP(-$E$27*A30)</f>
        <v>0.68143007079075846</v>
      </c>
      <c r="E30" s="57"/>
      <c r="F30" s="27">
        <v>40879</v>
      </c>
      <c r="G30" s="28" t="s">
        <v>342</v>
      </c>
      <c r="H30" s="28" t="s">
        <v>353</v>
      </c>
      <c r="I30" s="16">
        <f t="shared" si="1"/>
        <v>0.5</v>
      </c>
      <c r="J30" s="16">
        <v>30</v>
      </c>
    </row>
    <row r="31" spans="1:10" s="28" customFormat="1" ht="15" customHeight="1" x14ac:dyDescent="0.25">
      <c r="A31" s="38">
        <f>360-SUM(A27:A30)</f>
        <v>28</v>
      </c>
      <c r="B31" s="47">
        <f t="shared" si="0"/>
        <v>672</v>
      </c>
      <c r="C31" s="26"/>
      <c r="D31" s="26"/>
      <c r="E31" s="56"/>
      <c r="F31" s="27"/>
      <c r="I31" s="16"/>
      <c r="J31" s="16"/>
    </row>
    <row r="32" spans="1:10" s="28" customFormat="1" ht="15" customHeight="1" x14ac:dyDescent="0.25">
      <c r="A32" s="28">
        <f>DAYS360($A$5,F32)</f>
        <v>20</v>
      </c>
      <c r="B32" s="29">
        <f t="shared" si="0"/>
        <v>480</v>
      </c>
      <c r="C32" s="26">
        <f>1-EXP(-$E$32*A32)</f>
        <v>0.23964709343799839</v>
      </c>
      <c r="D32" s="26">
        <f>EXP(-$E$32*A32)</f>
        <v>0.76035290656200161</v>
      </c>
      <c r="E32" s="56">
        <f>'2011 - MTBF, MTTF, Exponencial'!AD44</f>
        <v>1.3698630136986301E-2</v>
      </c>
      <c r="F32" s="27">
        <v>40563</v>
      </c>
      <c r="G32" s="28" t="s">
        <v>342</v>
      </c>
      <c r="H32" s="28" t="s">
        <v>6</v>
      </c>
      <c r="I32" s="16">
        <f t="shared" si="1"/>
        <v>1</v>
      </c>
      <c r="J32" s="16">
        <v>60</v>
      </c>
    </row>
    <row r="33" spans="1:10" s="28" customFormat="1" ht="15" customHeight="1" x14ac:dyDescent="0.25">
      <c r="A33" s="28">
        <f>DAYS360($A$5,F33)-A32</f>
        <v>1</v>
      </c>
      <c r="B33" s="29">
        <f t="shared" si="0"/>
        <v>24</v>
      </c>
      <c r="C33" s="26">
        <f>1-EXP(-$E$32*A33)</f>
        <v>1.3605230870246343E-2</v>
      </c>
      <c r="D33" s="26">
        <f>EXP(-$E$32*A33)</f>
        <v>0.98639476912975366</v>
      </c>
      <c r="E33" s="57"/>
      <c r="F33" s="27">
        <v>40564</v>
      </c>
      <c r="G33" s="28" t="s">
        <v>342</v>
      </c>
      <c r="H33" s="28" t="s">
        <v>6</v>
      </c>
      <c r="I33" s="16">
        <f t="shared" si="1"/>
        <v>1</v>
      </c>
      <c r="J33" s="16">
        <v>60</v>
      </c>
    </row>
    <row r="34" spans="1:10" s="28" customFormat="1" ht="15" customHeight="1" x14ac:dyDescent="0.25">
      <c r="A34" s="28">
        <f>DAYS360($A$5,F34)-SUM(A32:A33)</f>
        <v>34</v>
      </c>
      <c r="B34" s="29">
        <f t="shared" si="0"/>
        <v>816</v>
      </c>
      <c r="C34" s="26">
        <f>1-EXP(-$E$32*A34)</f>
        <v>0.37233796905159444</v>
      </c>
      <c r="D34" s="26">
        <f>EXP(-$E$32*A34)</f>
        <v>0.62766203094840556</v>
      </c>
      <c r="E34" s="57"/>
      <c r="F34" s="27">
        <v>40599</v>
      </c>
      <c r="G34" s="28" t="s">
        <v>342</v>
      </c>
      <c r="H34" s="28" t="s">
        <v>6</v>
      </c>
      <c r="I34" s="16">
        <f t="shared" si="1"/>
        <v>8</v>
      </c>
      <c r="J34" s="16">
        <f>8*60</f>
        <v>480</v>
      </c>
    </row>
    <row r="35" spans="1:10" s="28" customFormat="1" ht="15" customHeight="1" x14ac:dyDescent="0.25">
      <c r="A35" s="28">
        <f>DAYS360($A$5,F35)-SUM(A32:A34)</f>
        <v>6</v>
      </c>
      <c r="B35" s="29">
        <f t="shared" si="0"/>
        <v>144</v>
      </c>
      <c r="C35" s="26">
        <f>1-EXP(-$E$32*A35)</f>
        <v>7.8904706656045209E-2</v>
      </c>
      <c r="D35" s="26">
        <f>EXP(-$E$32*A35)</f>
        <v>0.92109529334395479</v>
      </c>
      <c r="E35" s="57"/>
      <c r="F35" s="27">
        <v>40603</v>
      </c>
      <c r="G35" s="28" t="s">
        <v>342</v>
      </c>
      <c r="H35" s="28" t="s">
        <v>6</v>
      </c>
      <c r="I35" s="16">
        <f t="shared" si="1"/>
        <v>4</v>
      </c>
      <c r="J35" s="16">
        <v>240</v>
      </c>
    </row>
    <row r="36" spans="1:10" s="28" customFormat="1" ht="15" customHeight="1" x14ac:dyDescent="0.25">
      <c r="A36" s="28">
        <f>DAYS360($A$5,F36)-SUM(A32:A35)</f>
        <v>15</v>
      </c>
      <c r="B36" s="29">
        <f t="shared" si="0"/>
        <v>360</v>
      </c>
      <c r="C36" s="26">
        <f>1-EXP(-$E$32*A36)</f>
        <v>0.18574317430010445</v>
      </c>
      <c r="D36" s="26">
        <f>EXP(-$E$32*A36)</f>
        <v>0.81425682569989555</v>
      </c>
      <c r="E36" s="57"/>
      <c r="F36" s="27">
        <v>40618</v>
      </c>
      <c r="G36" s="28" t="s">
        <v>342</v>
      </c>
      <c r="H36" s="28" t="s">
        <v>6</v>
      </c>
      <c r="I36" s="16">
        <f t="shared" si="1"/>
        <v>0.5</v>
      </c>
      <c r="J36" s="16">
        <v>30</v>
      </c>
    </row>
    <row r="37" spans="1:10" s="28" customFormat="1" ht="15" customHeight="1" x14ac:dyDescent="0.25">
      <c r="A37" s="38">
        <f>360-SUM(A32:A36)</f>
        <v>284</v>
      </c>
      <c r="B37" s="47">
        <f t="shared" si="0"/>
        <v>6816</v>
      </c>
      <c r="C37" s="39"/>
      <c r="D37" s="39"/>
      <c r="E37" s="39"/>
      <c r="F37" s="27"/>
      <c r="I37" s="16"/>
      <c r="J37" s="16"/>
    </row>
    <row r="38" spans="1:10" s="28" customFormat="1" ht="15" customHeight="1" x14ac:dyDescent="0.25">
      <c r="A38" s="28">
        <f>DAYS360($A$5,F38)</f>
        <v>295</v>
      </c>
      <c r="B38" s="29">
        <f t="shared" si="0"/>
        <v>7080</v>
      </c>
      <c r="C38" s="26">
        <f>1-EXP(-$E$38*A38)</f>
        <v>0.55434901496836886</v>
      </c>
      <c r="D38" s="26">
        <f>EXP(-$E$38*A38)</f>
        <v>0.44565098503163114</v>
      </c>
      <c r="E38" s="16">
        <f>'2011 - MTBF, MTTF, Exponencial'!AD46</f>
        <v>2.7397260273972603E-3</v>
      </c>
      <c r="F38" s="27">
        <v>40841</v>
      </c>
      <c r="G38" s="28" t="s">
        <v>342</v>
      </c>
      <c r="H38" s="28" t="s">
        <v>359</v>
      </c>
      <c r="I38" s="16">
        <f t="shared" si="1"/>
        <v>3</v>
      </c>
      <c r="J38" s="16">
        <v>180</v>
      </c>
    </row>
    <row r="39" spans="1:10" s="28" customFormat="1" ht="15" customHeight="1" x14ac:dyDescent="0.25">
      <c r="A39" s="38">
        <f>360-A38</f>
        <v>65</v>
      </c>
      <c r="B39" s="47">
        <f t="shared" si="0"/>
        <v>1560</v>
      </c>
      <c r="C39" s="16"/>
      <c r="D39" s="16"/>
      <c r="E39" s="16"/>
      <c r="F39" s="27"/>
      <c r="I39" s="16"/>
      <c r="J39" s="16"/>
    </row>
    <row r="40" spans="1:10" s="28" customFormat="1" ht="15" customHeight="1" x14ac:dyDescent="0.25">
      <c r="A40" s="28">
        <f>DAYS360($A$5,F40)</f>
        <v>78</v>
      </c>
      <c r="B40" s="29">
        <f t="shared" si="0"/>
        <v>1872</v>
      </c>
      <c r="C40" s="26">
        <f>1-EXP(-$E$40*A40)</f>
        <v>0.19240826783821474</v>
      </c>
      <c r="D40" s="26">
        <f>EXP(-$E$40*A40)</f>
        <v>0.80759173216178526</v>
      </c>
      <c r="E40" s="16">
        <f>'2011 - MTBF, MTTF, Exponencial'!AD48</f>
        <v>2.7397260273972603E-3</v>
      </c>
      <c r="F40" s="27">
        <v>40620</v>
      </c>
      <c r="G40" s="28" t="s">
        <v>342</v>
      </c>
      <c r="H40" s="28" t="s">
        <v>367</v>
      </c>
      <c r="I40" s="16">
        <f t="shared" si="1"/>
        <v>5</v>
      </c>
      <c r="J40" s="16">
        <v>300</v>
      </c>
    </row>
    <row r="41" spans="1:10" s="28" customFormat="1" ht="15" customHeight="1" x14ac:dyDescent="0.25">
      <c r="A41" s="38">
        <f>360-A40</f>
        <v>282</v>
      </c>
      <c r="B41" s="47">
        <f t="shared" si="0"/>
        <v>6768</v>
      </c>
      <c r="C41" s="16"/>
      <c r="D41" s="16"/>
      <c r="E41" s="16"/>
      <c r="F41" s="27"/>
      <c r="I41" s="16"/>
      <c r="J41" s="16"/>
    </row>
    <row r="42" spans="1:10" s="28" customFormat="1" ht="15" customHeight="1" x14ac:dyDescent="0.25">
      <c r="A42" s="28">
        <f>DAYS360($A$5,F42)</f>
        <v>211</v>
      </c>
      <c r="B42" s="29">
        <f t="shared" si="0"/>
        <v>5064</v>
      </c>
      <c r="C42" s="26">
        <f>1-EXP(-$E$42*A42)</f>
        <v>0.82346684537392068</v>
      </c>
      <c r="D42" s="26">
        <f>EXP(-$E$42*A42)</f>
        <v>0.17653315462607938</v>
      </c>
      <c r="E42" s="16">
        <f>'2011 - MTBF, MTTF, Exponencial'!AD52</f>
        <v>8.21917808219178E-3</v>
      </c>
      <c r="F42" s="27">
        <v>40756</v>
      </c>
      <c r="G42" s="28" t="s">
        <v>342</v>
      </c>
      <c r="H42" s="28" t="s">
        <v>368</v>
      </c>
      <c r="I42" s="16">
        <f t="shared" si="1"/>
        <v>1</v>
      </c>
      <c r="J42" s="16">
        <v>60</v>
      </c>
    </row>
    <row r="43" spans="1:10" s="28" customFormat="1" ht="15" customHeight="1" x14ac:dyDescent="0.25">
      <c r="A43" s="28">
        <f>DAYS360($A$5,F43)-A42</f>
        <v>22</v>
      </c>
      <c r="B43" s="29">
        <f t="shared" si="0"/>
        <v>528</v>
      </c>
      <c r="C43" s="26">
        <f>1-EXP(-$E$42*A43)</f>
        <v>0.16541602999451333</v>
      </c>
      <c r="D43" s="26">
        <f>EXP(-$E$42*A43)</f>
        <v>0.83458397000548667</v>
      </c>
      <c r="E43" s="58"/>
      <c r="F43" s="27">
        <v>40778</v>
      </c>
      <c r="G43" s="28" t="s">
        <v>342</v>
      </c>
      <c r="H43" s="28" t="s">
        <v>368</v>
      </c>
      <c r="I43" s="16">
        <f t="shared" si="1"/>
        <v>1</v>
      </c>
      <c r="J43" s="16">
        <v>60</v>
      </c>
    </row>
    <row r="44" spans="1:10" s="28" customFormat="1" ht="15" customHeight="1" x14ac:dyDescent="0.25">
      <c r="A44" s="28">
        <f>DAYS360($A$5,F44)-A43-A42</f>
        <v>63</v>
      </c>
      <c r="B44" s="29">
        <f t="shared" si="0"/>
        <v>1512</v>
      </c>
      <c r="C44" s="26">
        <f>1-EXP(-$E$42*A44)</f>
        <v>0.40417496424108901</v>
      </c>
      <c r="D44" s="26">
        <f>EXP(-$E$42*A44)</f>
        <v>0.59582503575891099</v>
      </c>
      <c r="E44" s="58"/>
      <c r="F44" s="27">
        <v>40842</v>
      </c>
      <c r="G44" s="28" t="s">
        <v>342</v>
      </c>
      <c r="H44" s="28" t="s">
        <v>368</v>
      </c>
      <c r="I44" s="16">
        <f t="shared" si="1"/>
        <v>2</v>
      </c>
      <c r="J44" s="16">
        <v>120</v>
      </c>
    </row>
    <row r="45" spans="1:10" s="28" customFormat="1" ht="15" customHeight="1" x14ac:dyDescent="0.25">
      <c r="A45" s="38">
        <f>360-SUM(A42:A44)</f>
        <v>64</v>
      </c>
      <c r="B45" s="47">
        <f t="shared" si="0"/>
        <v>1536</v>
      </c>
      <c r="C45" s="16"/>
      <c r="D45" s="16"/>
      <c r="E45" s="16"/>
      <c r="F45" s="27"/>
      <c r="I45" s="16"/>
      <c r="J45" s="16"/>
    </row>
    <row r="46" spans="1:10" s="28" customFormat="1" ht="15" customHeight="1" x14ac:dyDescent="0.25">
      <c r="A46" s="28">
        <f>DAYS360($A$5,F46)</f>
        <v>112</v>
      </c>
      <c r="B46" s="29">
        <f t="shared" si="0"/>
        <v>2688</v>
      </c>
      <c r="C46" s="26">
        <f>1-EXP(-$E$46*A46)</f>
        <v>0.26423853928009411</v>
      </c>
      <c r="D46" s="26">
        <f>EXP(-$E$46*A46)</f>
        <v>0.73576146071990589</v>
      </c>
      <c r="E46" s="16">
        <f>'2011 - MTBF, MTTF, Exponencial'!AD56</f>
        <v>2.7397260273972603E-3</v>
      </c>
      <c r="F46" s="27">
        <v>40655</v>
      </c>
      <c r="G46" s="28" t="s">
        <v>385</v>
      </c>
      <c r="H46" s="28" t="s">
        <v>394</v>
      </c>
      <c r="I46" s="16">
        <f t="shared" si="1"/>
        <v>6</v>
      </c>
      <c r="J46" s="16">
        <v>360</v>
      </c>
    </row>
    <row r="47" spans="1:10" s="28" customFormat="1" ht="15" customHeight="1" x14ac:dyDescent="0.25">
      <c r="A47" s="38">
        <f>360-A46</f>
        <v>248</v>
      </c>
      <c r="B47" s="47">
        <f t="shared" si="0"/>
        <v>5952</v>
      </c>
      <c r="C47" s="16"/>
      <c r="D47" s="16"/>
      <c r="E47" s="16"/>
      <c r="F47" s="27"/>
      <c r="I47" s="16"/>
      <c r="J47" s="16"/>
    </row>
    <row r="48" spans="1:10" s="28" customFormat="1" ht="15" customHeight="1" x14ac:dyDescent="0.25">
      <c r="A48" s="28">
        <f>DAYS360($A$5,F48)</f>
        <v>239</v>
      </c>
      <c r="B48" s="29">
        <f t="shared" si="0"/>
        <v>5736</v>
      </c>
      <c r="C48" s="26">
        <f>1-EXP(-$E$48*A48)</f>
        <v>0.73006903587293326</v>
      </c>
      <c r="D48" s="26">
        <f>EXP(-$E$48*A48)</f>
        <v>0.26993096412706674</v>
      </c>
      <c r="E48" s="16">
        <f>'2011 - MTBF, MTTF, Exponencial'!AD12</f>
        <v>5.4794520547945206E-3</v>
      </c>
      <c r="F48" s="27">
        <v>40784</v>
      </c>
      <c r="G48" s="28" t="s">
        <v>370</v>
      </c>
      <c r="H48" s="28" t="s">
        <v>384</v>
      </c>
      <c r="I48" s="16">
        <f t="shared" si="1"/>
        <v>3</v>
      </c>
      <c r="J48" s="16">
        <v>180</v>
      </c>
    </row>
    <row r="49" spans="1:10" s="28" customFormat="1" ht="15" customHeight="1" x14ac:dyDescent="0.25">
      <c r="A49" s="38">
        <f>360-A48</f>
        <v>121</v>
      </c>
      <c r="B49" s="47">
        <f t="shared" si="0"/>
        <v>2904</v>
      </c>
      <c r="C49" s="16"/>
      <c r="D49" s="16"/>
      <c r="E49" s="16"/>
      <c r="F49" s="27"/>
      <c r="I49" s="16"/>
      <c r="J49" s="16"/>
    </row>
    <row r="50" spans="1:10" s="28" customFormat="1" ht="15" customHeight="1" x14ac:dyDescent="0.25">
      <c r="A50" s="28">
        <f>DAYS360($A$5,F50)</f>
        <v>215</v>
      </c>
      <c r="B50" s="29">
        <f t="shared" si="0"/>
        <v>5160</v>
      </c>
      <c r="C50" s="26">
        <f>1-EXP(-$E$50*A50)</f>
        <v>0.44514091362146191</v>
      </c>
      <c r="D50" s="26">
        <f>EXP(-$E$50*A50)</f>
        <v>0.55485908637853809</v>
      </c>
      <c r="E50" s="16">
        <f>'2011 - MTBF, MTTF, Exponencial'!AD9</f>
        <v>2.7397260273972603E-3</v>
      </c>
      <c r="F50" s="27">
        <v>40760</v>
      </c>
      <c r="G50" s="28" t="s">
        <v>370</v>
      </c>
      <c r="H50" s="28" t="s">
        <v>380</v>
      </c>
      <c r="I50" s="16">
        <f t="shared" si="1"/>
        <v>120</v>
      </c>
      <c r="J50" s="16">
        <f>5*24*60</f>
        <v>7200</v>
      </c>
    </row>
    <row r="51" spans="1:10" s="28" customFormat="1" ht="15" customHeight="1" x14ac:dyDescent="0.25">
      <c r="A51" s="38">
        <f>360-A50</f>
        <v>145</v>
      </c>
      <c r="B51" s="47">
        <f t="shared" si="0"/>
        <v>3480</v>
      </c>
      <c r="C51" s="16"/>
      <c r="D51" s="16"/>
      <c r="E51" s="16"/>
      <c r="F51" s="27"/>
      <c r="I51" s="16"/>
      <c r="J51" s="16"/>
    </row>
    <row r="52" spans="1:10" s="28" customFormat="1" ht="15" customHeight="1" x14ac:dyDescent="0.25">
      <c r="A52" s="28">
        <f>DAYS360($A$5,F52)</f>
        <v>215</v>
      </c>
      <c r="B52" s="29">
        <f t="shared" ref="B52:B57" si="4">A52*24</f>
        <v>5160</v>
      </c>
      <c r="C52" s="26">
        <f>1-EXP(-$E$52*A52)</f>
        <v>0.44514091362146191</v>
      </c>
      <c r="D52" s="26">
        <f>EXP(-$E$52*A52)</f>
        <v>0.55485908637853809</v>
      </c>
      <c r="E52" s="16">
        <f>'2011 - MTBF, MTTF, Exponencial'!AD14</f>
        <v>2.7397260273972603E-3</v>
      </c>
      <c r="F52" s="27">
        <v>40760</v>
      </c>
      <c r="G52" s="28" t="s">
        <v>370</v>
      </c>
      <c r="H52" s="28" t="s">
        <v>374</v>
      </c>
      <c r="I52" s="16">
        <f t="shared" ref="I52" si="5">J52/60</f>
        <v>120</v>
      </c>
      <c r="J52" s="16">
        <f>5*24*60</f>
        <v>7200</v>
      </c>
    </row>
    <row r="53" spans="1:10" s="28" customFormat="1" ht="15" customHeight="1" x14ac:dyDescent="0.25">
      <c r="A53" s="38">
        <f t="shared" ref="A53" si="6">360-A52</f>
        <v>145</v>
      </c>
      <c r="B53" s="47">
        <f t="shared" si="4"/>
        <v>3480</v>
      </c>
      <c r="C53" s="16"/>
      <c r="D53" s="16"/>
      <c r="E53" s="16"/>
      <c r="F53" s="27"/>
      <c r="I53" s="16"/>
      <c r="J53" s="16"/>
    </row>
    <row r="54" spans="1:10" s="28" customFormat="1" ht="15" customHeight="1" x14ac:dyDescent="0.25">
      <c r="A54" s="28">
        <f>DAYS360($A$5,F54)</f>
        <v>215</v>
      </c>
      <c r="B54" s="29">
        <f t="shared" si="4"/>
        <v>5160</v>
      </c>
      <c r="C54" s="26">
        <f>1-EXP(-$E$54*A54)</f>
        <v>0.44514091362146191</v>
      </c>
      <c r="D54" s="26">
        <f>EXP(-$E$54*A54)</f>
        <v>0.55485908637853809</v>
      </c>
      <c r="E54" s="16">
        <f>'2011 - MTBF, MTTF, Exponencial'!AD16</f>
        <v>2.7397260273972603E-3</v>
      </c>
      <c r="F54" s="27">
        <v>40760</v>
      </c>
      <c r="G54" s="28" t="s">
        <v>370</v>
      </c>
      <c r="H54" s="28" t="s">
        <v>378</v>
      </c>
      <c r="I54" s="16">
        <f t="shared" ref="I54" si="7">J54/60</f>
        <v>120</v>
      </c>
      <c r="J54" s="16">
        <f>5*24*60</f>
        <v>7200</v>
      </c>
    </row>
    <row r="55" spans="1:10" s="28" customFormat="1" ht="15" customHeight="1" x14ac:dyDescent="0.25">
      <c r="A55" s="38">
        <f t="shared" ref="A55" si="8">360-A54</f>
        <v>145</v>
      </c>
      <c r="B55" s="47">
        <f t="shared" si="4"/>
        <v>3480</v>
      </c>
      <c r="C55" s="16"/>
      <c r="D55" s="16"/>
      <c r="E55" s="16"/>
      <c r="F55" s="27"/>
      <c r="I55" s="16"/>
      <c r="J55" s="16"/>
    </row>
    <row r="56" spans="1:10" s="28" customFormat="1" ht="15" customHeight="1" x14ac:dyDescent="0.25">
      <c r="A56" s="28">
        <f>DAYS360($A$5,F56)</f>
        <v>215</v>
      </c>
      <c r="B56" s="29">
        <f t="shared" si="4"/>
        <v>5160</v>
      </c>
      <c r="C56" s="26">
        <f>1-EXP(-$E$56*A56)</f>
        <v>0.44514091362146191</v>
      </c>
      <c r="D56" s="26">
        <f>EXP(-$E$56*A56)</f>
        <v>0.55485908637853809</v>
      </c>
      <c r="E56" s="16">
        <f>'2011 - MTBF, MTTF, Exponencial'!AD18</f>
        <v>2.7397260273972603E-3</v>
      </c>
      <c r="F56" s="27">
        <v>40760</v>
      </c>
      <c r="G56" s="28" t="s">
        <v>370</v>
      </c>
      <c r="H56" s="28" t="s">
        <v>376</v>
      </c>
      <c r="I56" s="16">
        <f t="shared" ref="I56" si="9">J56/60</f>
        <v>120</v>
      </c>
      <c r="J56" s="16">
        <f>5*24*60</f>
        <v>7200</v>
      </c>
    </row>
    <row r="57" spans="1:10" s="28" customFormat="1" ht="15" customHeight="1" x14ac:dyDescent="0.25">
      <c r="A57" s="38">
        <f t="shared" ref="A57" si="10">360-A56</f>
        <v>145</v>
      </c>
      <c r="B57" s="47">
        <f t="shared" si="4"/>
        <v>3480</v>
      </c>
      <c r="C57" s="16"/>
      <c r="D57" s="16"/>
      <c r="E57" s="16"/>
      <c r="F57" s="27"/>
      <c r="I57" s="16"/>
      <c r="J57" s="16"/>
    </row>
    <row r="58" spans="1:10" s="28" customFormat="1" ht="15" customHeight="1" x14ac:dyDescent="0.25">
      <c r="B58" s="29"/>
      <c r="C58" s="16"/>
      <c r="D58" s="16"/>
      <c r="E58" s="16"/>
      <c r="F58" s="27"/>
      <c r="I58" s="16"/>
      <c r="J58" s="16"/>
    </row>
    <row r="59" spans="1:10" ht="15" customHeight="1" x14ac:dyDescent="0.25">
      <c r="A59"/>
    </row>
    <row r="60" spans="1:10" ht="15" customHeight="1" x14ac:dyDescent="0.25"/>
    <row r="61" spans="1:10" ht="15" customHeight="1" x14ac:dyDescent="0.25"/>
    <row r="62" spans="1:10" ht="15" customHeight="1" x14ac:dyDescent="0.25"/>
    <row r="63" spans="1:10" ht="15" customHeight="1" x14ac:dyDescent="0.25">
      <c r="C63" s="20"/>
      <c r="D63" s="20"/>
      <c r="E63" s="20"/>
    </row>
    <row r="64" spans="1:10" ht="15" customHeight="1" x14ac:dyDescent="0.35">
      <c r="C64" s="15"/>
      <c r="D64" s="15"/>
      <c r="E64" s="15"/>
    </row>
    <row r="65" ht="15" customHeight="1" x14ac:dyDescent="0.25"/>
    <row r="66" ht="15" customHeight="1" x14ac:dyDescent="0.25"/>
    <row r="67" ht="15" customHeight="1" x14ac:dyDescent="0.25"/>
    <row r="68" ht="15" customHeight="1" x14ac:dyDescent="0.25"/>
    <row r="69" ht="15" customHeight="1" x14ac:dyDescent="0.25"/>
    <row r="82" spans="1:8" x14ac:dyDescent="0.25">
      <c r="A82" s="20"/>
      <c r="B82" s="20"/>
    </row>
    <row r="83" spans="1:8" ht="21" x14ac:dyDescent="0.35">
      <c r="A83" s="15"/>
      <c r="B83" s="15"/>
    </row>
    <row r="85" spans="1:8" x14ac:dyDescent="0.25">
      <c r="H85" s="17"/>
    </row>
  </sheetData>
  <sheetProtection sheet="1" objects="1" scenarios="1"/>
  <pageMargins left="0.7" right="0.7" top="0.75" bottom="0.75" header="0.3" footer="0.3"/>
  <pageSetup paperSize="9" orientation="portrait" horizontalDpi="300" r:id="rId1"/>
  <drawing r:id="rId2"/>
  <legacy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sheetPr>
  <dimension ref="A1:H53"/>
  <sheetViews>
    <sheetView zoomScaleNormal="100" workbookViewId="0">
      <selection activeCell="J15" sqref="J15"/>
    </sheetView>
  </sheetViews>
  <sheetFormatPr defaultRowHeight="15" x14ac:dyDescent="0.25"/>
  <cols>
    <col min="1" max="1" width="5.85546875" customWidth="1"/>
    <col min="2" max="3" width="10.42578125" bestFit="1" customWidth="1"/>
    <col min="4" max="4" width="15.42578125" bestFit="1" customWidth="1"/>
    <col min="5" max="5" width="16.7109375" bestFit="1" customWidth="1"/>
    <col min="6" max="6" width="80.7109375" customWidth="1"/>
    <col min="7" max="7" width="18.5703125" bestFit="1" customWidth="1"/>
    <col min="8" max="8" width="13.140625" customWidth="1"/>
  </cols>
  <sheetData>
    <row r="1" spans="1:8" ht="21" x14ac:dyDescent="0.35">
      <c r="A1" s="4" t="s">
        <v>170</v>
      </c>
    </row>
    <row r="3" spans="1:8" x14ac:dyDescent="0.25">
      <c r="A3" s="2" t="s">
        <v>175</v>
      </c>
      <c r="B3" s="2" t="s">
        <v>165</v>
      </c>
      <c r="C3" s="2" t="s">
        <v>5</v>
      </c>
      <c r="D3" s="2" t="s">
        <v>2</v>
      </c>
      <c r="E3" s="2" t="s">
        <v>0</v>
      </c>
      <c r="F3" s="2" t="s">
        <v>1</v>
      </c>
      <c r="G3" s="2" t="s">
        <v>186</v>
      </c>
      <c r="H3" s="17" t="s">
        <v>218</v>
      </c>
    </row>
    <row r="4" spans="1:8" x14ac:dyDescent="0.25">
      <c r="A4" t="s">
        <v>176</v>
      </c>
      <c r="B4" s="1">
        <v>40178</v>
      </c>
    </row>
    <row r="5" spans="1:8" x14ac:dyDescent="0.25">
      <c r="B5" s="1"/>
    </row>
    <row r="6" spans="1:8" s="24" customFormat="1" ht="30" x14ac:dyDescent="0.25">
      <c r="A6" s="22">
        <v>21</v>
      </c>
      <c r="B6" s="22">
        <f t="shared" ref="B6:B25" si="0">DAYS360($B$4,C6)</f>
        <v>21</v>
      </c>
      <c r="C6" s="23">
        <v>40199</v>
      </c>
      <c r="D6" s="24" t="s">
        <v>333</v>
      </c>
      <c r="E6" s="24" t="s">
        <v>353</v>
      </c>
      <c r="F6" s="24" t="s">
        <v>146</v>
      </c>
      <c r="G6" s="24">
        <v>240</v>
      </c>
      <c r="H6" s="24" t="s">
        <v>219</v>
      </c>
    </row>
    <row r="7" spans="1:8" s="24" customFormat="1" ht="30" x14ac:dyDescent="0.25">
      <c r="A7" s="22">
        <f t="shared" ref="A7:A25" si="1">B7-B6</f>
        <v>11</v>
      </c>
      <c r="B7" s="22">
        <f t="shared" si="0"/>
        <v>32</v>
      </c>
      <c r="C7" s="23">
        <v>40211</v>
      </c>
      <c r="D7" s="24" t="s">
        <v>326</v>
      </c>
      <c r="E7" s="24" t="s">
        <v>353</v>
      </c>
      <c r="F7" s="24" t="s">
        <v>147</v>
      </c>
      <c r="G7" s="24">
        <v>240</v>
      </c>
      <c r="H7" s="24" t="s">
        <v>219</v>
      </c>
    </row>
    <row r="8" spans="1:8" s="24" customFormat="1" ht="30" x14ac:dyDescent="0.25">
      <c r="A8" s="22">
        <f t="shared" si="1"/>
        <v>8</v>
      </c>
      <c r="B8" s="22">
        <f t="shared" si="0"/>
        <v>40</v>
      </c>
      <c r="C8" s="23">
        <v>40219</v>
      </c>
      <c r="D8" s="24" t="s">
        <v>326</v>
      </c>
      <c r="E8" s="24" t="s">
        <v>353</v>
      </c>
      <c r="F8" s="24" t="s">
        <v>148</v>
      </c>
      <c r="G8" s="24">
        <v>120</v>
      </c>
      <c r="H8" s="24" t="s">
        <v>220</v>
      </c>
    </row>
    <row r="9" spans="1:8" s="24" customFormat="1" x14ac:dyDescent="0.25">
      <c r="A9" s="22">
        <f t="shared" si="1"/>
        <v>13</v>
      </c>
      <c r="B9" s="22">
        <f t="shared" si="0"/>
        <v>53</v>
      </c>
      <c r="C9" s="23">
        <v>40232</v>
      </c>
      <c r="D9" s="24" t="s">
        <v>342</v>
      </c>
      <c r="E9" s="24" t="s">
        <v>6</v>
      </c>
      <c r="F9" s="25" t="s">
        <v>149</v>
      </c>
      <c r="G9" s="24">
        <v>180</v>
      </c>
      <c r="H9" s="24" t="s">
        <v>219</v>
      </c>
    </row>
    <row r="10" spans="1:8" s="24" customFormat="1" ht="30" x14ac:dyDescent="0.25">
      <c r="A10" s="22">
        <f t="shared" si="1"/>
        <v>44</v>
      </c>
      <c r="B10" s="22">
        <f t="shared" si="0"/>
        <v>97</v>
      </c>
      <c r="C10" s="23">
        <v>40275</v>
      </c>
      <c r="D10" s="24" t="s">
        <v>342</v>
      </c>
      <c r="E10" s="24" t="s">
        <v>6</v>
      </c>
      <c r="F10" s="24" t="s">
        <v>150</v>
      </c>
      <c r="G10" s="24">
        <v>120</v>
      </c>
      <c r="H10" s="24" t="s">
        <v>220</v>
      </c>
    </row>
    <row r="11" spans="1:8" s="24" customFormat="1" ht="45" x14ac:dyDescent="0.25">
      <c r="A11" s="22">
        <f t="shared" si="1"/>
        <v>1</v>
      </c>
      <c r="B11" s="22">
        <f t="shared" si="0"/>
        <v>98</v>
      </c>
      <c r="C11" s="23">
        <v>40276</v>
      </c>
      <c r="D11" s="24" t="s">
        <v>333</v>
      </c>
      <c r="E11" s="24" t="s">
        <v>6</v>
      </c>
      <c r="F11" s="24" t="s">
        <v>151</v>
      </c>
      <c r="G11" s="24">
        <v>300</v>
      </c>
      <c r="H11" s="24" t="s">
        <v>219</v>
      </c>
    </row>
    <row r="12" spans="1:8" s="24" customFormat="1" x14ac:dyDescent="0.25">
      <c r="A12" s="22">
        <f t="shared" si="1"/>
        <v>24</v>
      </c>
      <c r="B12" s="22">
        <f t="shared" si="0"/>
        <v>122</v>
      </c>
      <c r="C12" s="23">
        <v>40300</v>
      </c>
      <c r="D12" s="24" t="s">
        <v>333</v>
      </c>
      <c r="E12" s="24" t="s">
        <v>353</v>
      </c>
      <c r="F12" s="25" t="s">
        <v>152</v>
      </c>
      <c r="G12" s="24">
        <v>120</v>
      </c>
      <c r="H12" s="24" t="s">
        <v>219</v>
      </c>
    </row>
    <row r="13" spans="1:8" s="24" customFormat="1" x14ac:dyDescent="0.25">
      <c r="A13" s="22">
        <f t="shared" si="1"/>
        <v>3</v>
      </c>
      <c r="B13" s="22">
        <f t="shared" si="0"/>
        <v>125</v>
      </c>
      <c r="C13" s="23">
        <v>40303</v>
      </c>
      <c r="D13" s="24" t="s">
        <v>406</v>
      </c>
      <c r="E13" s="24" t="s">
        <v>359</v>
      </c>
      <c r="F13" s="24" t="s">
        <v>153</v>
      </c>
      <c r="G13" s="24">
        <v>30</v>
      </c>
      <c r="H13" s="24" t="s">
        <v>220</v>
      </c>
    </row>
    <row r="14" spans="1:8" s="24" customFormat="1" ht="30" x14ac:dyDescent="0.25">
      <c r="A14" s="22">
        <f t="shared" si="1"/>
        <v>81</v>
      </c>
      <c r="B14" s="22">
        <f t="shared" si="0"/>
        <v>206</v>
      </c>
      <c r="C14" s="23">
        <v>40385</v>
      </c>
      <c r="D14" s="24" t="s">
        <v>409</v>
      </c>
      <c r="E14" s="24" t="s">
        <v>6</v>
      </c>
      <c r="F14" s="24" t="s">
        <v>154</v>
      </c>
      <c r="G14" s="24">
        <v>180</v>
      </c>
      <c r="H14" s="24" t="s">
        <v>219</v>
      </c>
    </row>
    <row r="15" spans="1:8" s="24" customFormat="1" ht="30" x14ac:dyDescent="0.25">
      <c r="A15" s="22">
        <f t="shared" si="1"/>
        <v>4</v>
      </c>
      <c r="B15" s="22">
        <f t="shared" si="0"/>
        <v>210</v>
      </c>
      <c r="C15" s="23">
        <v>40389</v>
      </c>
      <c r="D15" s="24" t="s">
        <v>333</v>
      </c>
      <c r="E15" s="24" t="s">
        <v>6</v>
      </c>
      <c r="F15" s="24" t="s">
        <v>155</v>
      </c>
      <c r="G15" s="24">
        <v>120</v>
      </c>
      <c r="H15" s="24" t="s">
        <v>219</v>
      </c>
    </row>
    <row r="16" spans="1:8" s="24" customFormat="1" ht="30" x14ac:dyDescent="0.25">
      <c r="A16" s="22">
        <f t="shared" si="1"/>
        <v>10</v>
      </c>
      <c r="B16" s="22">
        <f t="shared" si="0"/>
        <v>220</v>
      </c>
      <c r="C16" s="23">
        <v>40400</v>
      </c>
      <c r="D16" s="24" t="s">
        <v>370</v>
      </c>
      <c r="E16" s="24" t="s">
        <v>378</v>
      </c>
      <c r="F16" s="24" t="s">
        <v>156</v>
      </c>
      <c r="G16" s="24">
        <v>180</v>
      </c>
      <c r="H16" s="24" t="s">
        <v>220</v>
      </c>
    </row>
    <row r="17" spans="1:8" s="24" customFormat="1" ht="30" x14ac:dyDescent="0.25">
      <c r="A17" s="22">
        <f t="shared" si="1"/>
        <v>20</v>
      </c>
      <c r="B17" s="22">
        <f t="shared" si="0"/>
        <v>240</v>
      </c>
      <c r="C17" s="23">
        <v>40420</v>
      </c>
      <c r="D17" s="24" t="s">
        <v>342</v>
      </c>
      <c r="E17" s="24" t="s">
        <v>353</v>
      </c>
      <c r="F17" s="24" t="s">
        <v>157</v>
      </c>
      <c r="G17" s="24">
        <v>60</v>
      </c>
      <c r="H17" s="24" t="s">
        <v>219</v>
      </c>
    </row>
    <row r="18" spans="1:8" s="24" customFormat="1" ht="45" x14ac:dyDescent="0.25">
      <c r="A18" s="22">
        <f t="shared" si="1"/>
        <v>20</v>
      </c>
      <c r="B18" s="22">
        <f t="shared" si="0"/>
        <v>260</v>
      </c>
      <c r="C18" s="23">
        <v>40441</v>
      </c>
      <c r="D18" s="24" t="s">
        <v>333</v>
      </c>
      <c r="E18" s="24" t="s">
        <v>353</v>
      </c>
      <c r="F18" s="24" t="s">
        <v>221</v>
      </c>
      <c r="G18" s="24">
        <v>180</v>
      </c>
      <c r="H18" s="24" t="s">
        <v>220</v>
      </c>
    </row>
    <row r="19" spans="1:8" s="24" customFormat="1" ht="30" x14ac:dyDescent="0.25">
      <c r="A19" s="22">
        <f t="shared" si="1"/>
        <v>7</v>
      </c>
      <c r="B19" s="22">
        <f t="shared" si="0"/>
        <v>267</v>
      </c>
      <c r="C19" s="23">
        <v>40448</v>
      </c>
      <c r="D19" s="24" t="s">
        <v>333</v>
      </c>
      <c r="E19" s="24" t="s">
        <v>353</v>
      </c>
      <c r="F19" s="24" t="s">
        <v>158</v>
      </c>
      <c r="G19" s="24">
        <v>120</v>
      </c>
      <c r="H19" s="24" t="s">
        <v>219</v>
      </c>
    </row>
    <row r="20" spans="1:8" s="24" customFormat="1" x14ac:dyDescent="0.25">
      <c r="A20" s="22">
        <f t="shared" si="1"/>
        <v>1</v>
      </c>
      <c r="B20" s="22">
        <f t="shared" si="0"/>
        <v>268</v>
      </c>
      <c r="C20" s="23">
        <v>40449</v>
      </c>
      <c r="D20" s="24" t="s">
        <v>342</v>
      </c>
      <c r="E20" s="24" t="s">
        <v>6</v>
      </c>
      <c r="F20" s="25" t="s">
        <v>159</v>
      </c>
      <c r="G20" s="24">
        <v>120</v>
      </c>
      <c r="H20" s="24" t="s">
        <v>220</v>
      </c>
    </row>
    <row r="21" spans="1:8" s="24" customFormat="1" ht="30" x14ac:dyDescent="0.25">
      <c r="A21" s="22">
        <f t="shared" si="1"/>
        <v>17</v>
      </c>
      <c r="B21" s="22">
        <f t="shared" si="0"/>
        <v>285</v>
      </c>
      <c r="C21" s="23">
        <v>40466</v>
      </c>
      <c r="D21" s="24" t="s">
        <v>342</v>
      </c>
      <c r="E21" s="24" t="s">
        <v>353</v>
      </c>
      <c r="F21" s="25" t="s">
        <v>160</v>
      </c>
      <c r="G21" s="24">
        <v>240</v>
      </c>
      <c r="H21" s="24" t="s">
        <v>219</v>
      </c>
    </row>
    <row r="22" spans="1:8" s="24" customFormat="1" ht="30" x14ac:dyDescent="0.25">
      <c r="A22" s="22">
        <f t="shared" si="1"/>
        <v>4</v>
      </c>
      <c r="B22" s="22">
        <f t="shared" si="0"/>
        <v>289</v>
      </c>
      <c r="C22" s="23">
        <v>40470</v>
      </c>
      <c r="D22" s="24" t="s">
        <v>342</v>
      </c>
      <c r="E22" s="24" t="s">
        <v>369</v>
      </c>
      <c r="F22" s="24" t="s">
        <v>161</v>
      </c>
      <c r="G22" s="24">
        <v>120</v>
      </c>
      <c r="H22" s="24" t="s">
        <v>220</v>
      </c>
    </row>
    <row r="23" spans="1:8" s="24" customFormat="1" ht="45" x14ac:dyDescent="0.25">
      <c r="A23" s="22">
        <f t="shared" si="1"/>
        <v>1</v>
      </c>
      <c r="B23" s="22">
        <f t="shared" si="0"/>
        <v>290</v>
      </c>
      <c r="C23" s="23">
        <v>40471</v>
      </c>
      <c r="D23" s="24" t="s">
        <v>409</v>
      </c>
      <c r="E23" s="24" t="s">
        <v>6</v>
      </c>
      <c r="F23" s="24" t="s">
        <v>162</v>
      </c>
      <c r="G23" s="24">
        <v>60</v>
      </c>
      <c r="H23" s="24" t="s">
        <v>220</v>
      </c>
    </row>
    <row r="24" spans="1:8" s="24" customFormat="1" ht="30" x14ac:dyDescent="0.25">
      <c r="A24" s="22">
        <f t="shared" si="1"/>
        <v>14</v>
      </c>
      <c r="B24" s="22">
        <f t="shared" si="0"/>
        <v>304</v>
      </c>
      <c r="C24" s="23">
        <v>40486</v>
      </c>
      <c r="D24" s="24" t="s">
        <v>326</v>
      </c>
      <c r="E24" s="24" t="s">
        <v>6</v>
      </c>
      <c r="F24" s="24" t="s">
        <v>163</v>
      </c>
      <c r="G24" s="24">
        <v>480</v>
      </c>
      <c r="H24" s="24" t="s">
        <v>219</v>
      </c>
    </row>
    <row r="25" spans="1:8" s="24" customFormat="1" x14ac:dyDescent="0.25">
      <c r="A25" s="22">
        <f t="shared" si="1"/>
        <v>5</v>
      </c>
      <c r="B25" s="22">
        <f t="shared" si="0"/>
        <v>309</v>
      </c>
      <c r="C25" s="23">
        <v>40491</v>
      </c>
      <c r="D25" s="24" t="s">
        <v>342</v>
      </c>
      <c r="E25" s="24" t="s">
        <v>368</v>
      </c>
      <c r="F25" s="24" t="s">
        <v>164</v>
      </c>
      <c r="G25" s="24">
        <v>120</v>
      </c>
      <c r="H25" s="24" t="s">
        <v>219</v>
      </c>
    </row>
    <row r="26" spans="1:8" x14ac:dyDescent="0.25">
      <c r="B26" s="3"/>
      <c r="C26" s="1"/>
    </row>
    <row r="27" spans="1:8" x14ac:dyDescent="0.25">
      <c r="A27" s="21" t="s">
        <v>183</v>
      </c>
    </row>
    <row r="28" spans="1:8" x14ac:dyDescent="0.25">
      <c r="A28" s="16" t="s">
        <v>217</v>
      </c>
      <c r="C28" s="1"/>
    </row>
    <row r="29" spans="1:8" x14ac:dyDescent="0.25">
      <c r="C29" s="1"/>
    </row>
    <row r="30" spans="1:8" x14ac:dyDescent="0.25">
      <c r="C30" s="1"/>
    </row>
    <row r="31" spans="1:8" x14ac:dyDescent="0.25">
      <c r="C31" s="1"/>
    </row>
    <row r="32" spans="1:8" x14ac:dyDescent="0.25">
      <c r="C32" s="1"/>
    </row>
    <row r="33" spans="3:3" x14ac:dyDescent="0.25">
      <c r="C33" s="1"/>
    </row>
    <row r="34" spans="3:3" x14ac:dyDescent="0.25">
      <c r="C34" s="1"/>
    </row>
    <row r="35" spans="3:3" x14ac:dyDescent="0.25">
      <c r="C35" s="1"/>
    </row>
    <row r="36" spans="3:3" x14ac:dyDescent="0.25">
      <c r="C36" s="1"/>
    </row>
    <row r="37" spans="3:3" x14ac:dyDescent="0.25">
      <c r="C37" s="1"/>
    </row>
    <row r="38" spans="3:3" x14ac:dyDescent="0.25">
      <c r="C38" s="1"/>
    </row>
    <row r="39" spans="3:3" x14ac:dyDescent="0.25">
      <c r="C39" s="1"/>
    </row>
    <row r="40" spans="3:3" x14ac:dyDescent="0.25">
      <c r="C40" s="1"/>
    </row>
    <row r="41" spans="3:3" x14ac:dyDescent="0.25">
      <c r="C41" s="1"/>
    </row>
    <row r="42" spans="3:3" x14ac:dyDescent="0.25">
      <c r="C42" s="1"/>
    </row>
    <row r="43" spans="3:3" x14ac:dyDescent="0.25">
      <c r="C43" s="1"/>
    </row>
    <row r="44" spans="3:3" x14ac:dyDescent="0.25">
      <c r="C44" s="1"/>
    </row>
    <row r="45" spans="3:3" x14ac:dyDescent="0.25">
      <c r="C45" s="1"/>
    </row>
    <row r="46" spans="3:3" x14ac:dyDescent="0.25">
      <c r="C46" s="1"/>
    </row>
    <row r="47" spans="3:3" x14ac:dyDescent="0.25">
      <c r="C47" s="1"/>
    </row>
    <row r="48" spans="3:3" x14ac:dyDescent="0.25">
      <c r="C48" s="1"/>
    </row>
    <row r="49" spans="3:3" x14ac:dyDescent="0.25">
      <c r="C49" s="1"/>
    </row>
    <row r="50" spans="3:3" x14ac:dyDescent="0.25">
      <c r="C50" s="1"/>
    </row>
    <row r="51" spans="3:3" x14ac:dyDescent="0.25">
      <c r="C51" s="1"/>
    </row>
    <row r="52" spans="3:3" x14ac:dyDescent="0.25">
      <c r="C52" s="1"/>
    </row>
    <row r="53" spans="3:3" x14ac:dyDescent="0.25">
      <c r="C53" s="1"/>
    </row>
  </sheetData>
  <sheetProtection sheet="1" objects="1" scenarios="1"/>
  <pageMargins left="0.7" right="0.7" top="0.75" bottom="0.75" header="0.3" footer="0.3"/>
  <pageSetup paperSize="9" orientation="landscape" horizontalDpi="300" r:id="rId1"/>
  <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sheetPr>
  <dimension ref="B2:I25"/>
  <sheetViews>
    <sheetView zoomScaleNormal="100" workbookViewId="0">
      <selection activeCell="R26" sqref="R26"/>
    </sheetView>
  </sheetViews>
  <sheetFormatPr defaultRowHeight="15" x14ac:dyDescent="0.25"/>
  <cols>
    <col min="1" max="1" width="3" customWidth="1"/>
    <col min="2" max="2" width="10.42578125" bestFit="1" customWidth="1"/>
    <col min="3" max="3" width="12" bestFit="1" customWidth="1"/>
    <col min="4" max="4" width="10.42578125" bestFit="1" customWidth="1"/>
    <col min="5" max="5" width="9.140625" customWidth="1"/>
    <col min="6" max="6" width="10.42578125" bestFit="1" customWidth="1"/>
    <col min="7" max="7" width="12" bestFit="1" customWidth="1"/>
    <col min="8" max="8" width="10.42578125" bestFit="1" customWidth="1"/>
    <col min="9" max="9" width="20" bestFit="1" customWidth="1"/>
  </cols>
  <sheetData>
    <row r="2" spans="2:9" x14ac:dyDescent="0.25">
      <c r="B2" s="123" t="s">
        <v>181</v>
      </c>
      <c r="C2" s="123"/>
      <c r="D2" s="123"/>
      <c r="F2" s="123" t="s">
        <v>182</v>
      </c>
      <c r="G2" s="123"/>
      <c r="H2" s="123"/>
      <c r="I2" s="123"/>
    </row>
    <row r="3" spans="2:9" x14ac:dyDescent="0.25">
      <c r="B3" s="123"/>
      <c r="C3" s="123"/>
      <c r="D3" s="123"/>
      <c r="F3" s="123"/>
      <c r="G3" s="123"/>
      <c r="H3" s="123"/>
      <c r="I3" s="123"/>
    </row>
    <row r="4" spans="2:9" x14ac:dyDescent="0.25">
      <c r="B4" s="7" t="s">
        <v>165</v>
      </c>
      <c r="C4" s="7" t="s">
        <v>168</v>
      </c>
      <c r="D4" s="7" t="s">
        <v>5</v>
      </c>
      <c r="E4" s="2"/>
      <c r="F4" s="7" t="s">
        <v>165</v>
      </c>
      <c r="G4" s="7" t="s">
        <v>168</v>
      </c>
      <c r="H4" s="7" t="s">
        <v>5</v>
      </c>
      <c r="I4" s="7" t="s">
        <v>2</v>
      </c>
    </row>
    <row r="5" spans="2:9" x14ac:dyDescent="0.25">
      <c r="B5" s="8">
        <v>40178</v>
      </c>
      <c r="C5" s="8"/>
      <c r="D5" s="9"/>
      <c r="F5" s="8">
        <f>B5</f>
        <v>40178</v>
      </c>
      <c r="G5" s="8"/>
      <c r="H5" s="9"/>
      <c r="I5" s="9"/>
    </row>
    <row r="6" spans="2:9" x14ac:dyDescent="0.25">
      <c r="B6" s="6">
        <f>DAYS360($B$5,D6)</f>
        <v>21</v>
      </c>
      <c r="C6" s="10">
        <v>1</v>
      </c>
      <c r="D6" s="5">
        <v>40199</v>
      </c>
      <c r="F6" s="6">
        <f t="shared" ref="F6:F25" si="0">DAYS360($B$5,H6)</f>
        <v>125</v>
      </c>
      <c r="G6" s="10">
        <v>1</v>
      </c>
      <c r="H6" s="5">
        <v>40303</v>
      </c>
      <c r="I6" s="6" t="s">
        <v>406</v>
      </c>
    </row>
    <row r="7" spans="2:9" x14ac:dyDescent="0.25">
      <c r="B7" s="6">
        <f t="shared" ref="B7:B25" si="1">DAYS360($B$5,D7)</f>
        <v>32</v>
      </c>
      <c r="C7" s="10">
        <v>1</v>
      </c>
      <c r="D7" s="5">
        <v>40211</v>
      </c>
      <c r="F7" s="6">
        <f t="shared" si="0"/>
        <v>206</v>
      </c>
      <c r="G7" s="10">
        <v>1</v>
      </c>
      <c r="H7" s="5">
        <v>40385</v>
      </c>
      <c r="I7" s="6" t="s">
        <v>409</v>
      </c>
    </row>
    <row r="8" spans="2:9" x14ac:dyDescent="0.25">
      <c r="B8" s="6">
        <f t="shared" si="1"/>
        <v>40</v>
      </c>
      <c r="C8" s="10">
        <v>1</v>
      </c>
      <c r="D8" s="5">
        <v>40219</v>
      </c>
      <c r="F8" s="6">
        <f t="shared" si="0"/>
        <v>290</v>
      </c>
      <c r="G8" s="10">
        <v>1</v>
      </c>
      <c r="H8" s="5">
        <v>40471</v>
      </c>
      <c r="I8" s="6" t="s">
        <v>409</v>
      </c>
    </row>
    <row r="9" spans="2:9" x14ac:dyDescent="0.25">
      <c r="B9" s="6">
        <f t="shared" si="1"/>
        <v>53</v>
      </c>
      <c r="C9" s="10">
        <v>1</v>
      </c>
      <c r="D9" s="5">
        <v>40232</v>
      </c>
      <c r="F9" s="6">
        <f t="shared" si="0"/>
        <v>32</v>
      </c>
      <c r="G9" s="10">
        <v>1</v>
      </c>
      <c r="H9" s="5">
        <v>40211</v>
      </c>
      <c r="I9" s="6" t="s">
        <v>326</v>
      </c>
    </row>
    <row r="10" spans="2:9" x14ac:dyDescent="0.25">
      <c r="B10" s="6">
        <f t="shared" si="1"/>
        <v>97</v>
      </c>
      <c r="C10" s="10">
        <v>1</v>
      </c>
      <c r="D10" s="5">
        <v>40275</v>
      </c>
      <c r="F10" s="6">
        <f t="shared" si="0"/>
        <v>40</v>
      </c>
      <c r="G10" s="10">
        <v>1</v>
      </c>
      <c r="H10" s="5">
        <v>40219</v>
      </c>
      <c r="I10" s="6" t="s">
        <v>326</v>
      </c>
    </row>
    <row r="11" spans="2:9" x14ac:dyDescent="0.25">
      <c r="B11" s="6">
        <f t="shared" si="1"/>
        <v>98</v>
      </c>
      <c r="C11" s="10">
        <v>1</v>
      </c>
      <c r="D11" s="5">
        <v>40276</v>
      </c>
      <c r="F11" s="6">
        <f t="shared" si="0"/>
        <v>304</v>
      </c>
      <c r="G11" s="10">
        <v>1</v>
      </c>
      <c r="H11" s="5">
        <v>40486</v>
      </c>
      <c r="I11" s="6" t="s">
        <v>326</v>
      </c>
    </row>
    <row r="12" spans="2:9" x14ac:dyDescent="0.25">
      <c r="B12" s="6">
        <f t="shared" si="1"/>
        <v>122</v>
      </c>
      <c r="C12" s="10">
        <v>1</v>
      </c>
      <c r="D12" s="5">
        <v>40300</v>
      </c>
      <c r="F12" s="6">
        <f t="shared" si="0"/>
        <v>21</v>
      </c>
      <c r="G12" s="10">
        <v>1</v>
      </c>
      <c r="H12" s="5">
        <v>40199</v>
      </c>
      <c r="I12" s="6" t="s">
        <v>333</v>
      </c>
    </row>
    <row r="13" spans="2:9" x14ac:dyDescent="0.25">
      <c r="B13" s="6">
        <f t="shared" si="1"/>
        <v>125</v>
      </c>
      <c r="C13" s="10">
        <v>1</v>
      </c>
      <c r="D13" s="5">
        <v>40303</v>
      </c>
      <c r="F13" s="6">
        <f t="shared" si="0"/>
        <v>98</v>
      </c>
      <c r="G13" s="10">
        <v>1</v>
      </c>
      <c r="H13" s="5">
        <v>40276</v>
      </c>
      <c r="I13" s="6" t="s">
        <v>333</v>
      </c>
    </row>
    <row r="14" spans="2:9" x14ac:dyDescent="0.25">
      <c r="B14" s="6">
        <f t="shared" si="1"/>
        <v>206</v>
      </c>
      <c r="C14" s="10">
        <v>1</v>
      </c>
      <c r="D14" s="5">
        <v>40385</v>
      </c>
      <c r="F14" s="6">
        <f t="shared" si="0"/>
        <v>122</v>
      </c>
      <c r="G14" s="10">
        <v>1</v>
      </c>
      <c r="H14" s="5">
        <v>40300</v>
      </c>
      <c r="I14" s="6" t="s">
        <v>333</v>
      </c>
    </row>
    <row r="15" spans="2:9" x14ac:dyDescent="0.25">
      <c r="B15" s="6">
        <f t="shared" si="1"/>
        <v>210</v>
      </c>
      <c r="C15" s="10">
        <v>1</v>
      </c>
      <c r="D15" s="5">
        <v>40389</v>
      </c>
      <c r="F15" s="6">
        <f t="shared" si="0"/>
        <v>210</v>
      </c>
      <c r="G15" s="10">
        <v>1</v>
      </c>
      <c r="H15" s="5">
        <v>40389</v>
      </c>
      <c r="I15" s="6" t="s">
        <v>333</v>
      </c>
    </row>
    <row r="16" spans="2:9" x14ac:dyDescent="0.25">
      <c r="B16" s="6">
        <f t="shared" si="1"/>
        <v>220</v>
      </c>
      <c r="C16" s="10">
        <v>1</v>
      </c>
      <c r="D16" s="5">
        <v>40400</v>
      </c>
      <c r="F16" s="6">
        <f t="shared" si="0"/>
        <v>260</v>
      </c>
      <c r="G16" s="10">
        <v>1</v>
      </c>
      <c r="H16" s="5">
        <v>40441</v>
      </c>
      <c r="I16" s="6" t="s">
        <v>333</v>
      </c>
    </row>
    <row r="17" spans="2:9" x14ac:dyDescent="0.25">
      <c r="B17" s="6">
        <f t="shared" si="1"/>
        <v>240</v>
      </c>
      <c r="C17" s="10">
        <v>1</v>
      </c>
      <c r="D17" s="5">
        <v>40420</v>
      </c>
      <c r="F17" s="6">
        <f t="shared" si="0"/>
        <v>267</v>
      </c>
      <c r="G17" s="10">
        <v>1</v>
      </c>
      <c r="H17" s="5">
        <v>40448</v>
      </c>
      <c r="I17" s="6" t="s">
        <v>333</v>
      </c>
    </row>
    <row r="18" spans="2:9" x14ac:dyDescent="0.25">
      <c r="B18" s="6">
        <f t="shared" si="1"/>
        <v>260</v>
      </c>
      <c r="C18" s="10">
        <v>1</v>
      </c>
      <c r="D18" s="5">
        <v>40441</v>
      </c>
      <c r="F18" s="6">
        <f t="shared" si="0"/>
        <v>53</v>
      </c>
      <c r="G18" s="10">
        <v>1</v>
      </c>
      <c r="H18" s="5">
        <v>40232</v>
      </c>
      <c r="I18" s="6" t="s">
        <v>342</v>
      </c>
    </row>
    <row r="19" spans="2:9" x14ac:dyDescent="0.25">
      <c r="B19" s="6">
        <f t="shared" si="1"/>
        <v>267</v>
      </c>
      <c r="C19" s="10">
        <v>1</v>
      </c>
      <c r="D19" s="5">
        <v>40448</v>
      </c>
      <c r="F19" s="6">
        <f t="shared" si="0"/>
        <v>97</v>
      </c>
      <c r="G19" s="10">
        <v>1</v>
      </c>
      <c r="H19" s="5">
        <v>40275</v>
      </c>
      <c r="I19" s="6" t="s">
        <v>342</v>
      </c>
    </row>
    <row r="20" spans="2:9" x14ac:dyDescent="0.25">
      <c r="B20" s="6">
        <f t="shared" si="1"/>
        <v>268</v>
      </c>
      <c r="C20" s="10">
        <v>1</v>
      </c>
      <c r="D20" s="5">
        <v>40449</v>
      </c>
      <c r="F20" s="6">
        <f t="shared" si="0"/>
        <v>240</v>
      </c>
      <c r="G20" s="10">
        <v>1</v>
      </c>
      <c r="H20" s="5">
        <v>40420</v>
      </c>
      <c r="I20" s="6" t="s">
        <v>342</v>
      </c>
    </row>
    <row r="21" spans="2:9" x14ac:dyDescent="0.25">
      <c r="B21" s="6">
        <f t="shared" si="1"/>
        <v>285</v>
      </c>
      <c r="C21" s="10">
        <v>1</v>
      </c>
      <c r="D21" s="5">
        <v>40466</v>
      </c>
      <c r="F21" s="6">
        <f t="shared" si="0"/>
        <v>268</v>
      </c>
      <c r="G21" s="10">
        <v>1</v>
      </c>
      <c r="H21" s="5">
        <v>40449</v>
      </c>
      <c r="I21" s="6" t="s">
        <v>342</v>
      </c>
    </row>
    <row r="22" spans="2:9" x14ac:dyDescent="0.25">
      <c r="B22" s="6">
        <f t="shared" si="1"/>
        <v>289</v>
      </c>
      <c r="C22" s="10">
        <v>1</v>
      </c>
      <c r="D22" s="5">
        <v>40470</v>
      </c>
      <c r="F22" s="6">
        <f t="shared" si="0"/>
        <v>285</v>
      </c>
      <c r="G22" s="10">
        <v>1</v>
      </c>
      <c r="H22" s="5">
        <v>40466</v>
      </c>
      <c r="I22" s="6" t="s">
        <v>342</v>
      </c>
    </row>
    <row r="23" spans="2:9" x14ac:dyDescent="0.25">
      <c r="B23" s="6">
        <f t="shared" si="1"/>
        <v>290</v>
      </c>
      <c r="C23" s="10">
        <v>1</v>
      </c>
      <c r="D23" s="5">
        <v>40471</v>
      </c>
      <c r="F23" s="6">
        <f t="shared" si="0"/>
        <v>289</v>
      </c>
      <c r="G23" s="10">
        <v>1</v>
      </c>
      <c r="H23" s="5">
        <v>40470</v>
      </c>
      <c r="I23" s="6" t="s">
        <v>342</v>
      </c>
    </row>
    <row r="24" spans="2:9" x14ac:dyDescent="0.25">
      <c r="B24" s="6">
        <f t="shared" si="1"/>
        <v>304</v>
      </c>
      <c r="C24" s="10">
        <v>1</v>
      </c>
      <c r="D24" s="5">
        <v>40486</v>
      </c>
      <c r="F24" s="6">
        <f t="shared" si="0"/>
        <v>309</v>
      </c>
      <c r="G24" s="10">
        <v>1</v>
      </c>
      <c r="H24" s="5">
        <v>40491</v>
      </c>
      <c r="I24" s="6" t="s">
        <v>342</v>
      </c>
    </row>
    <row r="25" spans="2:9" x14ac:dyDescent="0.25">
      <c r="B25" s="6">
        <f t="shared" si="1"/>
        <v>309</v>
      </c>
      <c r="C25" s="10">
        <v>1</v>
      </c>
      <c r="D25" s="5">
        <v>40491</v>
      </c>
      <c r="F25" s="6">
        <f t="shared" si="0"/>
        <v>220</v>
      </c>
      <c r="G25" s="10">
        <v>1</v>
      </c>
      <c r="H25" s="5">
        <v>40400</v>
      </c>
      <c r="I25" s="6" t="s">
        <v>370</v>
      </c>
    </row>
  </sheetData>
  <sheetProtection sheet="1" objects="1" scenarios="1"/>
  <sortState ref="F6:I25">
    <sortCondition ref="I6:I25"/>
  </sortState>
  <mergeCells count="2">
    <mergeCell ref="B2:D3"/>
    <mergeCell ref="F2:I3"/>
  </mergeCells>
  <pageMargins left="0.7" right="0.7" top="0.75" bottom="0.75" header="0.3" footer="0.3"/>
  <pageSetup paperSize="9" orientation="portrait" horizontalDpi="300" verticalDpi="0" copies="0" r:id="rId1"/>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7030A0"/>
  </sheetPr>
  <dimension ref="B2:AG43"/>
  <sheetViews>
    <sheetView topLeftCell="O1" zoomScale="85" zoomScaleNormal="85" workbookViewId="0">
      <selection activeCell="AI15" sqref="AI15"/>
    </sheetView>
  </sheetViews>
  <sheetFormatPr defaultRowHeight="15" x14ac:dyDescent="0.25"/>
  <cols>
    <col min="1" max="1" width="3" customWidth="1"/>
    <col min="2" max="2" width="10.42578125" bestFit="1" customWidth="1"/>
    <col min="3" max="3" width="12" bestFit="1" customWidth="1"/>
    <col min="4" max="4" width="10.42578125" bestFit="1" customWidth="1"/>
    <col min="5" max="5" width="20" bestFit="1" customWidth="1"/>
    <col min="7" max="7" width="10.85546875" bestFit="1" customWidth="1"/>
    <col min="8" max="8" width="14.85546875" bestFit="1" customWidth="1"/>
    <col min="9" max="10" width="10.7109375" bestFit="1" customWidth="1"/>
    <col min="11" max="11" width="10.7109375" customWidth="1"/>
    <col min="12" max="12" width="12.28515625" bestFit="1" customWidth="1"/>
    <col min="13" max="13" width="13.7109375" bestFit="1" customWidth="1"/>
    <col min="14" max="16" width="10.7109375" customWidth="1"/>
    <col min="17" max="17" width="14" bestFit="1" customWidth="1"/>
    <col min="19" max="20" width="10.42578125" bestFit="1" customWidth="1"/>
    <col min="21" max="21" width="20.42578125" bestFit="1" customWidth="1"/>
    <col min="23" max="23" width="10.85546875" bestFit="1" customWidth="1"/>
    <col min="24" max="24" width="14.85546875" bestFit="1" customWidth="1"/>
    <col min="25" max="26" width="11.42578125" bestFit="1" customWidth="1"/>
    <col min="27" max="27" width="11.42578125" customWidth="1"/>
    <col min="28" max="28" width="12.28515625" bestFit="1" customWidth="1"/>
    <col min="29" max="29" width="13.7109375" bestFit="1" customWidth="1"/>
    <col min="30" max="32" width="11.42578125" customWidth="1"/>
    <col min="33" max="33" width="14" bestFit="1" customWidth="1"/>
  </cols>
  <sheetData>
    <row r="2" spans="2:33" ht="15" customHeight="1" x14ac:dyDescent="0.25">
      <c r="B2" s="123" t="s">
        <v>243</v>
      </c>
      <c r="C2" s="123"/>
      <c r="D2" s="123"/>
      <c r="E2" s="123"/>
      <c r="F2" s="123"/>
      <c r="G2" s="123"/>
      <c r="H2" s="123"/>
      <c r="I2" s="123"/>
      <c r="J2" s="123"/>
      <c r="K2" s="123"/>
      <c r="L2" s="123"/>
      <c r="M2" s="123"/>
      <c r="N2" s="123"/>
      <c r="O2" s="123"/>
      <c r="P2" s="123"/>
      <c r="Q2" s="123"/>
      <c r="S2" s="124" t="s">
        <v>247</v>
      </c>
      <c r="T2" s="125"/>
      <c r="U2" s="125"/>
      <c r="V2" s="125"/>
      <c r="W2" s="125"/>
      <c r="X2" s="125"/>
      <c r="Y2" s="125"/>
      <c r="Z2" s="125"/>
      <c r="AA2" s="125"/>
      <c r="AB2" s="125"/>
      <c r="AC2" s="125"/>
      <c r="AD2" s="125"/>
      <c r="AE2" s="125"/>
      <c r="AF2" s="125"/>
      <c r="AG2" s="126"/>
    </row>
    <row r="3" spans="2:33" x14ac:dyDescent="0.25">
      <c r="B3" s="123"/>
      <c r="C3" s="123"/>
      <c r="D3" s="123"/>
      <c r="E3" s="123"/>
      <c r="F3" s="123"/>
      <c r="G3" s="123"/>
      <c r="H3" s="123"/>
      <c r="I3" s="123"/>
      <c r="J3" s="123"/>
      <c r="K3" s="123"/>
      <c r="L3" s="123"/>
      <c r="M3" s="123"/>
      <c r="N3" s="123"/>
      <c r="O3" s="123"/>
      <c r="P3" s="123"/>
      <c r="Q3" s="123"/>
      <c r="S3" s="127"/>
      <c r="T3" s="128"/>
      <c r="U3" s="128"/>
      <c r="V3" s="128"/>
      <c r="W3" s="128"/>
      <c r="X3" s="128"/>
      <c r="Y3" s="128"/>
      <c r="Z3" s="128"/>
      <c r="AA3" s="128"/>
      <c r="AB3" s="128"/>
      <c r="AC3" s="128"/>
      <c r="AD3" s="128"/>
      <c r="AE3" s="128"/>
      <c r="AF3" s="128"/>
      <c r="AG3" s="129"/>
    </row>
    <row r="4" spans="2:33" x14ac:dyDescent="0.25">
      <c r="B4" s="7" t="s">
        <v>165</v>
      </c>
      <c r="C4" s="7" t="s">
        <v>168</v>
      </c>
      <c r="D4" s="7" t="s">
        <v>5</v>
      </c>
      <c r="E4" s="7" t="s">
        <v>2</v>
      </c>
      <c r="F4" s="7" t="s">
        <v>185</v>
      </c>
      <c r="G4" s="7" t="s">
        <v>191</v>
      </c>
      <c r="H4" s="7" t="s">
        <v>192</v>
      </c>
      <c r="I4" s="7" t="s">
        <v>194</v>
      </c>
      <c r="J4" s="7" t="s">
        <v>194</v>
      </c>
      <c r="K4" s="7" t="s">
        <v>223</v>
      </c>
      <c r="L4" s="7" t="s">
        <v>238</v>
      </c>
      <c r="M4" s="7" t="s">
        <v>236</v>
      </c>
      <c r="N4" s="41" t="s">
        <v>208</v>
      </c>
      <c r="O4" s="41" t="s">
        <v>230</v>
      </c>
      <c r="P4" s="41" t="s">
        <v>231</v>
      </c>
      <c r="Q4" s="41" t="s">
        <v>211</v>
      </c>
      <c r="S4" s="7" t="s">
        <v>165</v>
      </c>
      <c r="T4" s="7" t="s">
        <v>5</v>
      </c>
      <c r="U4" s="7" t="s">
        <v>2</v>
      </c>
      <c r="V4" s="7" t="s">
        <v>185</v>
      </c>
      <c r="W4" s="7" t="s">
        <v>191</v>
      </c>
      <c r="X4" s="7" t="s">
        <v>192</v>
      </c>
      <c r="Y4" s="7" t="s">
        <v>198</v>
      </c>
      <c r="Z4" s="7" t="s">
        <v>198</v>
      </c>
      <c r="AA4" s="7" t="s">
        <v>224</v>
      </c>
      <c r="AB4" s="7" t="s">
        <v>238</v>
      </c>
      <c r="AC4" s="7" t="s">
        <v>236</v>
      </c>
      <c r="AD4" s="41" t="s">
        <v>208</v>
      </c>
      <c r="AE4" s="41" t="s">
        <v>230</v>
      </c>
      <c r="AF4" s="41" t="s">
        <v>231</v>
      </c>
      <c r="AG4" s="41" t="s">
        <v>211</v>
      </c>
    </row>
    <row r="5" spans="2:33" x14ac:dyDescent="0.25">
      <c r="B5" s="8">
        <v>40178</v>
      </c>
      <c r="C5" s="8"/>
      <c r="D5" s="9"/>
      <c r="E5" s="9"/>
      <c r="F5" s="9" t="s">
        <v>187</v>
      </c>
      <c r="G5" s="9"/>
      <c r="H5" s="9" t="s">
        <v>187</v>
      </c>
      <c r="I5" s="9" t="s">
        <v>187</v>
      </c>
      <c r="J5" s="9" t="s">
        <v>199</v>
      </c>
      <c r="K5" s="9" t="s">
        <v>187</v>
      </c>
      <c r="L5" s="9" t="s">
        <v>237</v>
      </c>
      <c r="M5" s="9" t="s">
        <v>237</v>
      </c>
      <c r="N5" s="42" t="s">
        <v>233</v>
      </c>
      <c r="O5" s="42" t="s">
        <v>233</v>
      </c>
      <c r="P5" s="42" t="s">
        <v>233</v>
      </c>
      <c r="Q5" s="42" t="s">
        <v>233</v>
      </c>
      <c r="S5" s="8">
        <v>40178</v>
      </c>
      <c r="T5" s="9"/>
      <c r="U5" s="9"/>
      <c r="V5" s="9" t="s">
        <v>187</v>
      </c>
      <c r="W5" s="9"/>
      <c r="X5" s="9" t="s">
        <v>187</v>
      </c>
      <c r="Y5" s="9" t="s">
        <v>187</v>
      </c>
      <c r="Z5" s="9" t="s">
        <v>199</v>
      </c>
      <c r="AA5" s="9" t="s">
        <v>187</v>
      </c>
      <c r="AB5" s="9" t="s">
        <v>237</v>
      </c>
      <c r="AC5" s="9" t="s">
        <v>237</v>
      </c>
      <c r="AD5" s="42" t="s">
        <v>233</v>
      </c>
      <c r="AE5" s="42" t="s">
        <v>233</v>
      </c>
      <c r="AF5" s="42" t="s">
        <v>233</v>
      </c>
      <c r="AG5" s="42" t="s">
        <v>233</v>
      </c>
    </row>
    <row r="6" spans="2:33" x14ac:dyDescent="0.25">
      <c r="B6" s="6">
        <f t="shared" ref="B6:B25" si="0">DAYS360($B$5,D6)</f>
        <v>125</v>
      </c>
      <c r="C6" s="10">
        <v>1</v>
      </c>
      <c r="D6" s="5">
        <v>40303</v>
      </c>
      <c r="E6" s="6" t="s">
        <v>406</v>
      </c>
      <c r="F6" s="34">
        <v>30</v>
      </c>
      <c r="G6" s="6">
        <f>COUNT(F6:F6)</f>
        <v>1</v>
      </c>
      <c r="H6" s="6">
        <f>SUM(F6:F6)</f>
        <v>30</v>
      </c>
      <c r="I6" s="6">
        <f>(518400-H6)/G6</f>
        <v>518370</v>
      </c>
      <c r="J6" s="6">
        <f>INT(I6/60/24)</f>
        <v>359</v>
      </c>
      <c r="K6" s="6">
        <f>H6/G6</f>
        <v>30</v>
      </c>
      <c r="L6" s="6">
        <f>F6-$F$26</f>
        <v>-136.5</v>
      </c>
      <c r="M6" s="6">
        <f>SQRT((L6*L6)/COUNT($B$6:$B$55))</f>
        <v>30.522327892872127</v>
      </c>
      <c r="N6" s="6">
        <f>G6/365</f>
        <v>2.7397260273972603E-3</v>
      </c>
      <c r="O6" s="6">
        <f>N6*EXP(-N6*365)</f>
        <v>1.0078888799217598E-3</v>
      </c>
      <c r="P6" s="6">
        <f>1-EXP(-N6*365)</f>
        <v>0.63212055882855767</v>
      </c>
      <c r="Q6" s="6">
        <f>EXP(-N6*365)</f>
        <v>0.36787944117144233</v>
      </c>
      <c r="S6" s="6">
        <f t="shared" ref="S6" si="1">DAYS360($B$5,T6)</f>
        <v>220</v>
      </c>
      <c r="T6" s="5">
        <v>40400</v>
      </c>
      <c r="U6" s="6" t="s">
        <v>379</v>
      </c>
      <c r="V6" s="34">
        <v>180</v>
      </c>
      <c r="W6" s="6">
        <f>COUNT(V6:V6)</f>
        <v>1</v>
      </c>
      <c r="X6" s="6">
        <f>SUM(V6:V6)</f>
        <v>180</v>
      </c>
      <c r="Y6" s="6">
        <f>(518400-X6)/W6</f>
        <v>518220</v>
      </c>
      <c r="Z6" s="6">
        <f>INT(Y6/60/24)</f>
        <v>359</v>
      </c>
      <c r="AA6" s="6">
        <f>X6/W6</f>
        <v>180</v>
      </c>
      <c r="AB6" s="6">
        <f>X6-V7</f>
        <v>0</v>
      </c>
      <c r="AC6" s="6">
        <f>SQRT((AB6*AB6)/COUNT(S6))</f>
        <v>0</v>
      </c>
      <c r="AD6" s="6">
        <f>W6/365</f>
        <v>2.7397260273972603E-3</v>
      </c>
      <c r="AE6" s="6">
        <f>AD6*EXP(-AD6*365)</f>
        <v>1.0078888799217598E-3</v>
      </c>
      <c r="AF6" s="6">
        <f>1-EXP(-AD6*365)</f>
        <v>0.63212055882855767</v>
      </c>
      <c r="AG6" s="6">
        <f>EXP(-AD6*365)</f>
        <v>0.36787944117144233</v>
      </c>
    </row>
    <row r="7" spans="2:33" x14ac:dyDescent="0.25">
      <c r="B7" s="6">
        <f t="shared" si="0"/>
        <v>206</v>
      </c>
      <c r="C7" s="10">
        <v>1</v>
      </c>
      <c r="D7" s="5">
        <v>40385</v>
      </c>
      <c r="E7" s="6" t="s">
        <v>409</v>
      </c>
      <c r="F7" s="34">
        <v>180</v>
      </c>
      <c r="G7" s="31"/>
      <c r="H7" s="31"/>
      <c r="I7" s="31"/>
      <c r="J7" s="31"/>
      <c r="K7" s="31"/>
      <c r="L7" s="6">
        <f t="shared" ref="L7:L25" si="2">F7-$F$26</f>
        <v>13.5</v>
      </c>
      <c r="M7" s="6">
        <f t="shared" ref="M7:M25" si="3">SQRT((L7*L7)/COUNT($B$6:$B$55))</f>
        <v>3.0186917696247164</v>
      </c>
      <c r="N7" s="31"/>
      <c r="O7" s="31"/>
      <c r="P7" s="31"/>
      <c r="Q7" s="31"/>
      <c r="S7" s="31"/>
      <c r="T7" s="31"/>
      <c r="U7" s="43" t="s">
        <v>235</v>
      </c>
      <c r="V7" s="6">
        <f>AVERAGE(V6)</f>
        <v>180</v>
      </c>
      <c r="W7" s="31"/>
      <c r="X7" s="31"/>
      <c r="Y7" s="31"/>
      <c r="Z7" s="31"/>
      <c r="AA7" s="31"/>
      <c r="AB7" s="31"/>
      <c r="AC7" s="31"/>
      <c r="AD7" s="31"/>
      <c r="AE7" s="31"/>
      <c r="AF7" s="31"/>
      <c r="AG7" s="31"/>
    </row>
    <row r="8" spans="2:33" x14ac:dyDescent="0.25">
      <c r="B8" s="6">
        <f t="shared" si="0"/>
        <v>290</v>
      </c>
      <c r="C8" s="10">
        <v>1</v>
      </c>
      <c r="D8" s="5">
        <v>40471</v>
      </c>
      <c r="E8" s="6" t="s">
        <v>409</v>
      </c>
      <c r="F8" s="34">
        <v>60</v>
      </c>
      <c r="G8" s="6">
        <f>COUNT(F7:F8)</f>
        <v>2</v>
      </c>
      <c r="H8" s="6">
        <f>SUM(F7:F8)</f>
        <v>240</v>
      </c>
      <c r="I8" s="6">
        <f>(518400-H8)/G8</f>
        <v>259080</v>
      </c>
      <c r="J8" s="6">
        <f>INT(I8/60/24)</f>
        <v>179</v>
      </c>
      <c r="K8" s="6">
        <f>H8/G8</f>
        <v>120</v>
      </c>
      <c r="L8" s="6">
        <f t="shared" si="2"/>
        <v>-106.5</v>
      </c>
      <c r="M8" s="6">
        <f t="shared" si="3"/>
        <v>23.814123960372758</v>
      </c>
      <c r="N8" s="6">
        <f>G8/365</f>
        <v>5.4794520547945206E-3</v>
      </c>
      <c r="O8" s="6">
        <f>N8*EXP(-N8*365)</f>
        <v>7.4156319581705592E-4</v>
      </c>
      <c r="P8" s="6">
        <f>1-EXP(-N8*365)</f>
        <v>0.8646647167633873</v>
      </c>
      <c r="Q8" s="6">
        <f>EXP(-N8*365)</f>
        <v>0.1353352832366127</v>
      </c>
      <c r="S8" s="6">
        <f>DAYS360($B$5,T8)</f>
        <v>32</v>
      </c>
      <c r="T8" s="5">
        <v>40211</v>
      </c>
      <c r="U8" s="6" t="s">
        <v>330</v>
      </c>
      <c r="V8" s="34">
        <v>240</v>
      </c>
      <c r="W8" s="31"/>
      <c r="X8" s="31"/>
      <c r="Y8" s="31"/>
      <c r="Z8" s="31"/>
      <c r="AA8" s="31"/>
      <c r="AB8" s="31"/>
      <c r="AC8" s="31"/>
      <c r="AD8" s="31"/>
      <c r="AE8" s="31"/>
      <c r="AF8" s="31"/>
      <c r="AG8" s="31"/>
    </row>
    <row r="9" spans="2:33" x14ac:dyDescent="0.25">
      <c r="B9" s="6">
        <f t="shared" si="0"/>
        <v>32</v>
      </c>
      <c r="C9" s="10">
        <v>1</v>
      </c>
      <c r="D9" s="5">
        <v>40211</v>
      </c>
      <c r="E9" s="6" t="s">
        <v>326</v>
      </c>
      <c r="F9" s="34">
        <v>240</v>
      </c>
      <c r="G9" s="31"/>
      <c r="H9" s="31"/>
      <c r="I9" s="31"/>
      <c r="J9" s="31"/>
      <c r="K9" s="31"/>
      <c r="L9" s="6">
        <f t="shared" si="2"/>
        <v>73.5</v>
      </c>
      <c r="M9" s="6">
        <f t="shared" si="3"/>
        <v>16.435099634623455</v>
      </c>
      <c r="N9" s="31"/>
      <c r="O9" s="31"/>
      <c r="P9" s="31"/>
      <c r="Q9" s="31"/>
      <c r="S9" s="6">
        <f>DAYS360($B$5,T9)</f>
        <v>40</v>
      </c>
      <c r="T9" s="5">
        <v>40219</v>
      </c>
      <c r="U9" s="6" t="s">
        <v>330</v>
      </c>
      <c r="V9" s="34">
        <v>120</v>
      </c>
      <c r="W9" s="33">
        <f>COUNT(V8:V9)</f>
        <v>2</v>
      </c>
      <c r="X9" s="33">
        <f>SUM(V8:V9)</f>
        <v>360</v>
      </c>
      <c r="Y9" s="6">
        <f>(518400-X9)/W9</f>
        <v>259020</v>
      </c>
      <c r="Z9" s="6">
        <f>INT(Y9/60/24)</f>
        <v>179</v>
      </c>
      <c r="AA9" s="6">
        <f>X9/W9</f>
        <v>180</v>
      </c>
      <c r="AB9" s="6">
        <f>X9-V10</f>
        <v>180</v>
      </c>
      <c r="AC9" s="6">
        <f>SQRT((AB9*AB9)/COUNT(S9:S9))</f>
        <v>180</v>
      </c>
      <c r="AD9" s="6">
        <f>W9/365</f>
        <v>5.4794520547945206E-3</v>
      </c>
      <c r="AE9" s="6">
        <f>AD9*EXP(-AD9*365)</f>
        <v>7.4156319581705592E-4</v>
      </c>
      <c r="AF9" s="6">
        <f>1-EXP(-AD9*365)</f>
        <v>0.8646647167633873</v>
      </c>
      <c r="AG9" s="6">
        <f>EXP(-AD9*365)</f>
        <v>0.1353352832366127</v>
      </c>
    </row>
    <row r="10" spans="2:33" x14ac:dyDescent="0.25">
      <c r="B10" s="6">
        <f t="shared" si="0"/>
        <v>40</v>
      </c>
      <c r="C10" s="10">
        <v>1</v>
      </c>
      <c r="D10" s="5">
        <v>40219</v>
      </c>
      <c r="E10" s="6" t="s">
        <v>326</v>
      </c>
      <c r="F10" s="34">
        <v>120</v>
      </c>
      <c r="G10" s="31"/>
      <c r="H10" s="31"/>
      <c r="I10" s="31"/>
      <c r="J10" s="31"/>
      <c r="K10" s="31"/>
      <c r="L10" s="6">
        <f t="shared" si="2"/>
        <v>-46.5</v>
      </c>
      <c r="M10" s="6">
        <f t="shared" si="3"/>
        <v>10.397716095374022</v>
      </c>
      <c r="N10" s="31"/>
      <c r="O10" s="31"/>
      <c r="P10" s="31"/>
      <c r="Q10" s="31"/>
      <c r="S10" s="31"/>
      <c r="T10" s="31"/>
      <c r="U10" s="43" t="s">
        <v>235</v>
      </c>
      <c r="V10" s="6">
        <f>AVERAGE(V8:V9)</f>
        <v>180</v>
      </c>
      <c r="W10" s="31"/>
      <c r="X10" s="31"/>
      <c r="Y10" s="31"/>
      <c r="Z10" s="31"/>
      <c r="AA10" s="31"/>
      <c r="AB10" s="31"/>
      <c r="AC10" s="31"/>
      <c r="AD10" s="31"/>
      <c r="AE10" s="31"/>
      <c r="AF10" s="31"/>
      <c r="AG10" s="31"/>
    </row>
    <row r="11" spans="2:33" x14ac:dyDescent="0.25">
      <c r="B11" s="6">
        <f t="shared" si="0"/>
        <v>304</v>
      </c>
      <c r="C11" s="10">
        <v>1</v>
      </c>
      <c r="D11" s="5">
        <v>40486</v>
      </c>
      <c r="E11" s="6" t="s">
        <v>326</v>
      </c>
      <c r="F11" s="34">
        <v>480</v>
      </c>
      <c r="G11" s="6">
        <f>COUNT(F9:F11)</f>
        <v>3</v>
      </c>
      <c r="H11" s="6">
        <f>SUM(F9:F11)</f>
        <v>840</v>
      </c>
      <c r="I11" s="6">
        <f>(518400-H11)/G11</f>
        <v>172520</v>
      </c>
      <c r="J11" s="6">
        <f>INT(I11/60/24)</f>
        <v>119</v>
      </c>
      <c r="K11" s="6">
        <f>H11/G11</f>
        <v>280</v>
      </c>
      <c r="L11" s="6">
        <f t="shared" si="2"/>
        <v>313.5</v>
      </c>
      <c r="M11" s="6">
        <f t="shared" si="3"/>
        <v>70.100731094618411</v>
      </c>
      <c r="N11" s="6">
        <f>G11/365</f>
        <v>8.21917808219178E-3</v>
      </c>
      <c r="O11" s="6">
        <f>N11*EXP(-N11*365)</f>
        <v>4.0920878110573119E-4</v>
      </c>
      <c r="P11" s="6">
        <f>1-EXP(-N11*365)</f>
        <v>0.95021293163213605</v>
      </c>
      <c r="Q11" s="6">
        <f>EXP(-N11*365)</f>
        <v>4.9787068367863965E-2</v>
      </c>
      <c r="S11" s="6">
        <f>DAYS360($B$5,T11)</f>
        <v>304</v>
      </c>
      <c r="T11" s="5">
        <v>40486</v>
      </c>
      <c r="U11" s="6" t="s">
        <v>331</v>
      </c>
      <c r="V11" s="34">
        <v>480</v>
      </c>
      <c r="W11" s="6">
        <v>1</v>
      </c>
      <c r="X11" s="6">
        <f>SUM(V11:V11)</f>
        <v>480</v>
      </c>
      <c r="Y11" s="6">
        <f>(518400-X11)/W11</f>
        <v>517920</v>
      </c>
      <c r="Z11" s="6">
        <f>INT(Y11/60/24)</f>
        <v>359</v>
      </c>
      <c r="AA11" s="6">
        <f>X11/W11</f>
        <v>480</v>
      </c>
      <c r="AB11" s="6">
        <f>X11-V12</f>
        <v>225</v>
      </c>
      <c r="AC11" s="6">
        <f>SQRT((AB11*AB11)/COUNT(S11:S11))</f>
        <v>225</v>
      </c>
      <c r="AD11" s="6">
        <f>W11/365</f>
        <v>2.7397260273972603E-3</v>
      </c>
      <c r="AE11" s="6">
        <f>AD11*EXP(-AD11*365)</f>
        <v>1.0078888799217598E-3</v>
      </c>
      <c r="AF11" s="6">
        <f>1-EXP(-AD11*365)</f>
        <v>0.63212055882855767</v>
      </c>
      <c r="AG11" s="6">
        <f>EXP(-AD11*365)</f>
        <v>0.36787944117144233</v>
      </c>
    </row>
    <row r="12" spans="2:33" x14ac:dyDescent="0.25">
      <c r="B12" s="6">
        <f t="shared" si="0"/>
        <v>21</v>
      </c>
      <c r="C12" s="10">
        <v>1</v>
      </c>
      <c r="D12" s="5">
        <v>40199</v>
      </c>
      <c r="E12" s="6" t="s">
        <v>333</v>
      </c>
      <c r="F12" s="34">
        <v>240</v>
      </c>
      <c r="G12" s="31"/>
      <c r="H12" s="31"/>
      <c r="I12" s="31"/>
      <c r="J12" s="31"/>
      <c r="K12" s="31"/>
      <c r="L12" s="6">
        <f t="shared" si="2"/>
        <v>73.5</v>
      </c>
      <c r="M12" s="6">
        <f t="shared" si="3"/>
        <v>16.435099634623455</v>
      </c>
      <c r="N12" s="31"/>
      <c r="O12" s="31"/>
      <c r="P12" s="31"/>
      <c r="Q12" s="31"/>
      <c r="S12" s="31"/>
      <c r="T12" s="31"/>
      <c r="U12" s="43" t="s">
        <v>235</v>
      </c>
      <c r="V12" s="6">
        <f>AVERAGE(V8:V11)</f>
        <v>255</v>
      </c>
      <c r="W12" s="31"/>
      <c r="X12" s="31"/>
      <c r="Y12" s="31"/>
      <c r="Z12" s="31"/>
      <c r="AA12" s="31"/>
      <c r="AB12" s="31"/>
      <c r="AC12" s="31"/>
      <c r="AD12" s="31"/>
      <c r="AE12" s="31"/>
      <c r="AF12" s="31"/>
      <c r="AG12" s="31"/>
    </row>
    <row r="13" spans="2:33" x14ac:dyDescent="0.25">
      <c r="B13" s="6">
        <f t="shared" si="0"/>
        <v>98</v>
      </c>
      <c r="C13" s="10">
        <v>1</v>
      </c>
      <c r="D13" s="5">
        <v>40276</v>
      </c>
      <c r="E13" s="6" t="s">
        <v>333</v>
      </c>
      <c r="F13" s="34">
        <v>300</v>
      </c>
      <c r="G13" s="31"/>
      <c r="H13" s="31"/>
      <c r="I13" s="31"/>
      <c r="J13" s="31"/>
      <c r="K13" s="31"/>
      <c r="L13" s="6">
        <f t="shared" si="2"/>
        <v>133.5</v>
      </c>
      <c r="M13" s="6">
        <f t="shared" si="3"/>
        <v>29.851507499622191</v>
      </c>
      <c r="N13" s="31"/>
      <c r="O13" s="31"/>
      <c r="P13" s="31"/>
      <c r="Q13" s="31"/>
      <c r="S13" s="6">
        <f>DAYS360($B$5,T13)</f>
        <v>21</v>
      </c>
      <c r="T13" s="5">
        <v>40199</v>
      </c>
      <c r="U13" s="6" t="s">
        <v>338</v>
      </c>
      <c r="V13" s="34">
        <v>240</v>
      </c>
      <c r="W13" s="31"/>
      <c r="X13" s="31"/>
      <c r="Y13" s="31"/>
      <c r="Z13" s="31"/>
      <c r="AA13" s="31"/>
      <c r="AB13" s="31"/>
      <c r="AC13" s="31"/>
      <c r="AD13" s="31"/>
      <c r="AE13" s="31"/>
      <c r="AF13" s="31"/>
      <c r="AG13" s="31"/>
    </row>
    <row r="14" spans="2:33" x14ac:dyDescent="0.25">
      <c r="B14" s="6">
        <f t="shared" si="0"/>
        <v>122</v>
      </c>
      <c r="C14" s="10">
        <v>1</v>
      </c>
      <c r="D14" s="5">
        <v>40300</v>
      </c>
      <c r="E14" s="6" t="s">
        <v>333</v>
      </c>
      <c r="F14" s="34">
        <v>120</v>
      </c>
      <c r="G14" s="31"/>
      <c r="H14" s="31"/>
      <c r="I14" s="31"/>
      <c r="J14" s="31"/>
      <c r="K14" s="31"/>
      <c r="L14" s="6">
        <f t="shared" si="2"/>
        <v>-46.5</v>
      </c>
      <c r="M14" s="6">
        <f t="shared" si="3"/>
        <v>10.397716095374022</v>
      </c>
      <c r="N14" s="31"/>
      <c r="O14" s="31"/>
      <c r="P14" s="31"/>
      <c r="Q14" s="31"/>
      <c r="S14" s="6">
        <f>DAYS360($B$5,T14)</f>
        <v>122</v>
      </c>
      <c r="T14" s="5">
        <v>40300</v>
      </c>
      <c r="U14" s="6" t="s">
        <v>338</v>
      </c>
      <c r="V14" s="34">
        <v>120</v>
      </c>
      <c r="W14" s="31"/>
      <c r="X14" s="31"/>
      <c r="Y14" s="31"/>
      <c r="Z14" s="31"/>
      <c r="AA14" s="31"/>
      <c r="AB14" s="31"/>
      <c r="AC14" s="31"/>
      <c r="AD14" s="31"/>
      <c r="AE14" s="31"/>
      <c r="AF14" s="31"/>
      <c r="AG14" s="31"/>
    </row>
    <row r="15" spans="2:33" x14ac:dyDescent="0.25">
      <c r="B15" s="6">
        <f t="shared" si="0"/>
        <v>210</v>
      </c>
      <c r="C15" s="10">
        <v>1</v>
      </c>
      <c r="D15" s="5">
        <v>40389</v>
      </c>
      <c r="E15" s="6" t="s">
        <v>333</v>
      </c>
      <c r="F15" s="34">
        <v>120</v>
      </c>
      <c r="G15" s="31"/>
      <c r="H15" s="31"/>
      <c r="I15" s="31"/>
      <c r="J15" s="31"/>
      <c r="K15" s="31"/>
      <c r="L15" s="6">
        <f t="shared" si="2"/>
        <v>-46.5</v>
      </c>
      <c r="M15" s="6">
        <f t="shared" si="3"/>
        <v>10.397716095374022</v>
      </c>
      <c r="N15" s="31"/>
      <c r="O15" s="31"/>
      <c r="P15" s="31"/>
      <c r="Q15" s="31"/>
      <c r="S15" s="6">
        <f>DAYS360($B$5,T15)</f>
        <v>260</v>
      </c>
      <c r="T15" s="5">
        <v>40441</v>
      </c>
      <c r="U15" s="6" t="s">
        <v>338</v>
      </c>
      <c r="V15" s="34">
        <v>180</v>
      </c>
      <c r="W15" s="31"/>
      <c r="X15" s="31"/>
      <c r="Y15" s="31"/>
      <c r="Z15" s="31"/>
      <c r="AA15" s="31"/>
      <c r="AB15" s="31"/>
      <c r="AC15" s="31"/>
      <c r="AD15" s="31"/>
      <c r="AE15" s="31"/>
      <c r="AF15" s="31"/>
      <c r="AG15" s="31"/>
    </row>
    <row r="16" spans="2:33" x14ac:dyDescent="0.25">
      <c r="B16" s="6">
        <f t="shared" si="0"/>
        <v>260</v>
      </c>
      <c r="C16" s="10">
        <v>1</v>
      </c>
      <c r="D16" s="5">
        <v>40441</v>
      </c>
      <c r="E16" s="6" t="s">
        <v>333</v>
      </c>
      <c r="F16" s="34">
        <v>180</v>
      </c>
      <c r="G16" s="31"/>
      <c r="H16" s="31"/>
      <c r="I16" s="31"/>
      <c r="J16" s="31"/>
      <c r="K16" s="31"/>
      <c r="L16" s="6">
        <f t="shared" si="2"/>
        <v>13.5</v>
      </c>
      <c r="M16" s="6">
        <f t="shared" si="3"/>
        <v>3.0186917696247164</v>
      </c>
      <c r="N16" s="31"/>
      <c r="O16" s="31"/>
      <c r="P16" s="31"/>
      <c r="Q16" s="31"/>
      <c r="S16" s="6">
        <f>DAYS360($B$5,T16)</f>
        <v>267</v>
      </c>
      <c r="T16" s="5">
        <v>40448</v>
      </c>
      <c r="U16" s="6" t="s">
        <v>338</v>
      </c>
      <c r="V16" s="34">
        <v>120</v>
      </c>
      <c r="W16" s="6">
        <f>COUNT(V13:V16)</f>
        <v>4</v>
      </c>
      <c r="X16" s="6">
        <f>SUM(V13:V16)</f>
        <v>660</v>
      </c>
      <c r="Y16" s="6">
        <f>(518400-X16)/W16</f>
        <v>129435</v>
      </c>
      <c r="Z16" s="6">
        <f>INT(Y16/60/24)</f>
        <v>89</v>
      </c>
      <c r="AA16" s="6">
        <f>X16/W16</f>
        <v>165</v>
      </c>
      <c r="AB16" s="6">
        <f>X16-V17</f>
        <v>495</v>
      </c>
      <c r="AC16" s="6">
        <f>SQRT((AB16*AB16)/COUNT(S13:S16))</f>
        <v>247.5</v>
      </c>
      <c r="AD16" s="6">
        <f>W16/365</f>
        <v>1.0958904109589041E-2</v>
      </c>
      <c r="AE16" s="6">
        <f>AD16*EXP(-AD16*365)</f>
        <v>2.0071933028749785E-4</v>
      </c>
      <c r="AF16" s="6">
        <f>1-EXP(-AD16*365)</f>
        <v>0.98168436111126578</v>
      </c>
      <c r="AG16" s="6">
        <f>EXP(-AD16*365)</f>
        <v>1.8315638888734179E-2</v>
      </c>
    </row>
    <row r="17" spans="2:33" x14ac:dyDescent="0.25">
      <c r="B17" s="6">
        <f t="shared" si="0"/>
        <v>267</v>
      </c>
      <c r="C17" s="10">
        <v>1</v>
      </c>
      <c r="D17" s="5">
        <v>40448</v>
      </c>
      <c r="E17" s="6" t="s">
        <v>333</v>
      </c>
      <c r="F17" s="34">
        <v>120</v>
      </c>
      <c r="G17" s="6">
        <f>COUNT(F12:F17)</f>
        <v>6</v>
      </c>
      <c r="H17" s="6">
        <f>SUM(F12:F17)</f>
        <v>1080</v>
      </c>
      <c r="I17" s="6">
        <f>(518400-H17)/G17</f>
        <v>86220</v>
      </c>
      <c r="J17" s="6">
        <f>INT(I17/60/24)</f>
        <v>59</v>
      </c>
      <c r="K17" s="6">
        <f>H17/G17</f>
        <v>180</v>
      </c>
      <c r="L17" s="6">
        <f t="shared" si="2"/>
        <v>-46.5</v>
      </c>
      <c r="M17" s="6">
        <f t="shared" si="3"/>
        <v>10.397716095374022</v>
      </c>
      <c r="N17" s="6">
        <f>G17/365</f>
        <v>1.643835616438356E-2</v>
      </c>
      <c r="O17" s="6">
        <f>N17*EXP(-N17*365)</f>
        <v>4.0746611123282634E-5</v>
      </c>
      <c r="P17" s="6">
        <f>1-EXP(-N17*365)</f>
        <v>0.99752124782333362</v>
      </c>
      <c r="Q17" s="6">
        <f>EXP(-N17*365)</f>
        <v>2.4787521766663607E-3</v>
      </c>
      <c r="S17" s="31"/>
      <c r="T17" s="31"/>
      <c r="U17" s="43" t="s">
        <v>235</v>
      </c>
      <c r="V17" s="6">
        <f>AVERAGE(V13:V16)</f>
        <v>165</v>
      </c>
      <c r="W17" s="31"/>
      <c r="X17" s="31"/>
      <c r="Y17" s="31"/>
      <c r="Z17" s="31"/>
      <c r="AA17" s="31"/>
      <c r="AB17" s="31"/>
      <c r="AC17" s="31"/>
      <c r="AD17" s="31"/>
      <c r="AE17" s="31"/>
      <c r="AF17" s="31"/>
      <c r="AG17" s="31"/>
    </row>
    <row r="18" spans="2:33" x14ac:dyDescent="0.25">
      <c r="B18" s="6">
        <f t="shared" si="0"/>
        <v>53</v>
      </c>
      <c r="C18" s="10">
        <v>1</v>
      </c>
      <c r="D18" s="5">
        <v>40232</v>
      </c>
      <c r="E18" s="6" t="s">
        <v>342</v>
      </c>
      <c r="F18" s="34">
        <v>180</v>
      </c>
      <c r="G18" s="31"/>
      <c r="H18" s="31"/>
      <c r="I18" s="31"/>
      <c r="J18" s="31"/>
      <c r="K18" s="31"/>
      <c r="L18" s="6">
        <f t="shared" si="2"/>
        <v>13.5</v>
      </c>
      <c r="M18" s="6">
        <f t="shared" si="3"/>
        <v>3.0186917696247164</v>
      </c>
      <c r="N18" s="31"/>
      <c r="O18" s="31"/>
      <c r="P18" s="31"/>
      <c r="Q18" s="31"/>
      <c r="S18" s="6">
        <f>DAYS360($B$5,T18)</f>
        <v>98</v>
      </c>
      <c r="T18" s="5">
        <v>40276</v>
      </c>
      <c r="U18" s="6" t="s">
        <v>340</v>
      </c>
      <c r="V18" s="34">
        <v>300</v>
      </c>
      <c r="W18" s="31"/>
      <c r="X18" s="31"/>
      <c r="Y18" s="31"/>
      <c r="Z18" s="31"/>
      <c r="AA18" s="31"/>
      <c r="AB18" s="31"/>
      <c r="AC18" s="31"/>
      <c r="AD18" s="31"/>
      <c r="AE18" s="31"/>
      <c r="AF18" s="31"/>
      <c r="AG18" s="31"/>
    </row>
    <row r="19" spans="2:33" x14ac:dyDescent="0.25">
      <c r="B19" s="6">
        <f t="shared" si="0"/>
        <v>97</v>
      </c>
      <c r="C19" s="10">
        <v>1</v>
      </c>
      <c r="D19" s="5">
        <v>40275</v>
      </c>
      <c r="E19" s="6" t="s">
        <v>342</v>
      </c>
      <c r="F19" s="34">
        <v>120</v>
      </c>
      <c r="G19" s="31"/>
      <c r="H19" s="31"/>
      <c r="I19" s="31"/>
      <c r="J19" s="31"/>
      <c r="K19" s="31"/>
      <c r="L19" s="6">
        <f t="shared" si="2"/>
        <v>-46.5</v>
      </c>
      <c r="M19" s="6">
        <f t="shared" si="3"/>
        <v>10.397716095374022</v>
      </c>
      <c r="N19" s="31"/>
      <c r="O19" s="31"/>
      <c r="P19" s="31"/>
      <c r="Q19" s="31"/>
      <c r="S19" s="6">
        <f>DAYS360($B$5,T19)</f>
        <v>210</v>
      </c>
      <c r="T19" s="5">
        <v>40389</v>
      </c>
      <c r="U19" s="6" t="s">
        <v>340</v>
      </c>
      <c r="V19" s="34">
        <v>120</v>
      </c>
      <c r="W19" s="6">
        <f>COUNT(V18:V19)</f>
        <v>2</v>
      </c>
      <c r="X19" s="6">
        <f>SUM(V18:V19)</f>
        <v>420</v>
      </c>
      <c r="Y19" s="6">
        <f>(518400-X19)/W19</f>
        <v>258990</v>
      </c>
      <c r="Z19" s="6">
        <f>INT(Y19/60/24)</f>
        <v>179</v>
      </c>
      <c r="AA19" s="6">
        <f>X19/W19</f>
        <v>210</v>
      </c>
      <c r="AB19" s="6">
        <f>X19-V20</f>
        <v>210</v>
      </c>
      <c r="AC19" s="6">
        <f>SQRT((AB19*AB19)/COUNT(S18:S19))</f>
        <v>148.49242404917499</v>
      </c>
      <c r="AD19" s="6">
        <f>W19/365</f>
        <v>5.4794520547945206E-3</v>
      </c>
      <c r="AE19" s="6">
        <f>AD19*EXP(-AD19*365)</f>
        <v>7.4156319581705592E-4</v>
      </c>
      <c r="AF19" s="6">
        <f>1-EXP(-AD19*365)</f>
        <v>0.8646647167633873</v>
      </c>
      <c r="AG19" s="6">
        <f>EXP(-AD19*365)</f>
        <v>0.1353352832366127</v>
      </c>
    </row>
    <row r="20" spans="2:33" x14ac:dyDescent="0.25">
      <c r="B20" s="6">
        <f t="shared" si="0"/>
        <v>240</v>
      </c>
      <c r="C20" s="10">
        <v>1</v>
      </c>
      <c r="D20" s="5">
        <v>40420</v>
      </c>
      <c r="E20" s="6" t="s">
        <v>342</v>
      </c>
      <c r="F20" s="34">
        <v>60</v>
      </c>
      <c r="G20" s="31"/>
      <c r="H20" s="31"/>
      <c r="I20" s="31"/>
      <c r="J20" s="31"/>
      <c r="K20" s="31"/>
      <c r="L20" s="6">
        <f t="shared" si="2"/>
        <v>-106.5</v>
      </c>
      <c r="M20" s="6">
        <f t="shared" si="3"/>
        <v>23.814123960372758</v>
      </c>
      <c r="N20" s="31"/>
      <c r="O20" s="31"/>
      <c r="P20" s="31"/>
      <c r="Q20" s="31"/>
      <c r="S20" s="31"/>
      <c r="T20" s="31"/>
      <c r="U20" s="43" t="s">
        <v>235</v>
      </c>
      <c r="V20" s="6">
        <f>AVERAGE(V18:V19)</f>
        <v>210</v>
      </c>
      <c r="W20" s="31"/>
      <c r="X20" s="31"/>
      <c r="Y20" s="31"/>
      <c r="Z20" s="31"/>
      <c r="AA20" s="31"/>
      <c r="AB20" s="31"/>
      <c r="AC20" s="31"/>
      <c r="AD20" s="31"/>
      <c r="AE20" s="31"/>
      <c r="AF20" s="31"/>
      <c r="AG20" s="31"/>
    </row>
    <row r="21" spans="2:33" x14ac:dyDescent="0.25">
      <c r="B21" s="6">
        <f t="shared" si="0"/>
        <v>268</v>
      </c>
      <c r="C21" s="10">
        <v>1</v>
      </c>
      <c r="D21" s="5">
        <v>40449</v>
      </c>
      <c r="E21" s="6" t="s">
        <v>342</v>
      </c>
      <c r="F21" s="34">
        <v>120</v>
      </c>
      <c r="G21" s="31"/>
      <c r="H21" s="31"/>
      <c r="I21" s="31"/>
      <c r="J21" s="31"/>
      <c r="K21" s="31"/>
      <c r="L21" s="6">
        <f t="shared" si="2"/>
        <v>-46.5</v>
      </c>
      <c r="M21" s="6">
        <f t="shared" si="3"/>
        <v>10.397716095374022</v>
      </c>
      <c r="N21" s="31"/>
      <c r="O21" s="31"/>
      <c r="P21" s="31"/>
      <c r="Q21" s="31"/>
      <c r="S21" s="6">
        <f>DAYS360($B$5,T21)</f>
        <v>289</v>
      </c>
      <c r="T21" s="5">
        <v>40470</v>
      </c>
      <c r="U21" s="6" t="s">
        <v>352</v>
      </c>
      <c r="V21" s="34">
        <v>120</v>
      </c>
      <c r="W21" s="6">
        <f>COUNT(V21:V21)</f>
        <v>1</v>
      </c>
      <c r="X21" s="6">
        <f>SUM(V21:V21)</f>
        <v>120</v>
      </c>
      <c r="Y21" s="6">
        <f>(518400-X21)/W21</f>
        <v>518280</v>
      </c>
      <c r="Z21" s="6">
        <f>INT(Y21/60/24)</f>
        <v>359</v>
      </c>
      <c r="AA21" s="6">
        <f>X21/W21</f>
        <v>120</v>
      </c>
      <c r="AB21" s="6">
        <f>X21-V22</f>
        <v>0</v>
      </c>
      <c r="AC21" s="6">
        <f>SQRT((AB21*AB21)/COUNT(S21))</f>
        <v>0</v>
      </c>
      <c r="AD21" s="6">
        <f>W21/365</f>
        <v>2.7397260273972603E-3</v>
      </c>
      <c r="AE21" s="6">
        <f>AD21*EXP(-AD21*365)</f>
        <v>1.0078888799217598E-3</v>
      </c>
      <c r="AF21" s="6">
        <f>1-EXP(-AD21*365)</f>
        <v>0.63212055882855767</v>
      </c>
      <c r="AG21" s="6">
        <f>EXP(-AD21*365)</f>
        <v>0.36787944117144233</v>
      </c>
    </row>
    <row r="22" spans="2:33" x14ac:dyDescent="0.25">
      <c r="B22" s="6">
        <f t="shared" si="0"/>
        <v>285</v>
      </c>
      <c r="C22" s="10">
        <v>1</v>
      </c>
      <c r="D22" s="5">
        <v>40466</v>
      </c>
      <c r="E22" s="6" t="s">
        <v>342</v>
      </c>
      <c r="F22" s="34">
        <v>240</v>
      </c>
      <c r="G22" s="31"/>
      <c r="H22" s="31"/>
      <c r="I22" s="31"/>
      <c r="J22" s="31"/>
      <c r="K22" s="31"/>
      <c r="L22" s="6">
        <f t="shared" si="2"/>
        <v>73.5</v>
      </c>
      <c r="M22" s="6">
        <f t="shared" si="3"/>
        <v>16.435099634623455</v>
      </c>
      <c r="N22" s="31"/>
      <c r="O22" s="31"/>
      <c r="P22" s="31"/>
      <c r="Q22" s="31"/>
      <c r="S22" s="31"/>
      <c r="T22" s="31"/>
      <c r="U22" s="43" t="s">
        <v>235</v>
      </c>
      <c r="V22" s="6">
        <f>AVERAGE(V21)</f>
        <v>120</v>
      </c>
      <c r="W22" s="31"/>
      <c r="X22" s="31"/>
      <c r="Y22" s="31"/>
      <c r="Z22" s="31"/>
      <c r="AA22" s="31"/>
      <c r="AB22" s="31"/>
      <c r="AC22" s="31"/>
      <c r="AD22" s="31"/>
      <c r="AE22" s="31"/>
      <c r="AF22" s="31"/>
      <c r="AG22" s="31"/>
    </row>
    <row r="23" spans="2:33" x14ac:dyDescent="0.25">
      <c r="B23" s="6">
        <f t="shared" si="0"/>
        <v>289</v>
      </c>
      <c r="C23" s="10">
        <v>1</v>
      </c>
      <c r="D23" s="5">
        <v>40470</v>
      </c>
      <c r="E23" s="6" t="s">
        <v>342</v>
      </c>
      <c r="F23" s="34">
        <v>120</v>
      </c>
      <c r="G23" s="31"/>
      <c r="H23" s="31"/>
      <c r="I23" s="31"/>
      <c r="J23" s="31"/>
      <c r="K23" s="31"/>
      <c r="L23" s="6">
        <f t="shared" si="2"/>
        <v>-46.5</v>
      </c>
      <c r="M23" s="6">
        <f t="shared" si="3"/>
        <v>10.397716095374022</v>
      </c>
      <c r="N23" s="31"/>
      <c r="O23" s="31"/>
      <c r="P23" s="31"/>
      <c r="Q23" s="31"/>
      <c r="S23" s="6">
        <f>DAYS360($B$5,T23)</f>
        <v>240</v>
      </c>
      <c r="T23" s="5">
        <v>40420</v>
      </c>
      <c r="U23" s="6" t="s">
        <v>347</v>
      </c>
      <c r="V23" s="34">
        <v>60</v>
      </c>
      <c r="W23" s="31"/>
      <c r="X23" s="31"/>
      <c r="Y23" s="31"/>
      <c r="Z23" s="31"/>
      <c r="AA23" s="31"/>
      <c r="AB23" s="31"/>
      <c r="AC23" s="31"/>
      <c r="AD23" s="31"/>
      <c r="AE23" s="31"/>
      <c r="AF23" s="31"/>
      <c r="AG23" s="31"/>
    </row>
    <row r="24" spans="2:33" x14ac:dyDescent="0.25">
      <c r="B24" s="6">
        <f t="shared" si="0"/>
        <v>309</v>
      </c>
      <c r="C24" s="10">
        <v>1</v>
      </c>
      <c r="D24" s="5">
        <v>40491</v>
      </c>
      <c r="E24" s="6" t="s">
        <v>342</v>
      </c>
      <c r="F24" s="34">
        <v>120</v>
      </c>
      <c r="G24" s="6">
        <f>COUNT(F18:F24)</f>
        <v>7</v>
      </c>
      <c r="H24" s="6">
        <f>SUM(F18:F24)</f>
        <v>960</v>
      </c>
      <c r="I24" s="6">
        <f>(518400-H24)/G24</f>
        <v>73920</v>
      </c>
      <c r="J24" s="6">
        <f>INT(I24/60/24)</f>
        <v>51</v>
      </c>
      <c r="K24" s="6">
        <f>H24/G24</f>
        <v>137.14285714285714</v>
      </c>
      <c r="L24" s="6">
        <f t="shared" si="2"/>
        <v>-46.5</v>
      </c>
      <c r="M24" s="6">
        <f t="shared" si="3"/>
        <v>10.397716095374022</v>
      </c>
      <c r="N24" s="6">
        <f>G24/365</f>
        <v>1.9178082191780823E-2</v>
      </c>
      <c r="O24" s="6">
        <f>N24*EXP(-N24*365)</f>
        <v>1.7488147284607161E-5</v>
      </c>
      <c r="P24" s="6">
        <f>1-EXP(-N24*365)</f>
        <v>0.99908811803444553</v>
      </c>
      <c r="Q24" s="6">
        <f>EXP(-N24*365)</f>
        <v>9.1188196555451624E-4</v>
      </c>
      <c r="S24" s="6">
        <f>DAYS360($B$5,T24)</f>
        <v>285</v>
      </c>
      <c r="T24" s="5">
        <v>40466</v>
      </c>
      <c r="U24" s="6" t="s">
        <v>347</v>
      </c>
      <c r="V24" s="34">
        <v>240</v>
      </c>
      <c r="W24" s="6">
        <f>COUNT(V23:V24)</f>
        <v>2</v>
      </c>
      <c r="X24" s="6">
        <f>SUM(V23:V24)</f>
        <v>300</v>
      </c>
      <c r="Y24" s="6">
        <f>(518400-X24)/W24</f>
        <v>259050</v>
      </c>
      <c r="Z24" s="6">
        <f>INT(Y24/60/24)</f>
        <v>179</v>
      </c>
      <c r="AA24" s="6">
        <f>X24/W24</f>
        <v>150</v>
      </c>
      <c r="AB24" s="6">
        <f>X24-V25</f>
        <v>150</v>
      </c>
      <c r="AC24" s="6">
        <f>SQRT((AB24*AB24)/COUNT(S23:S24))</f>
        <v>106.06601717798213</v>
      </c>
      <c r="AD24" s="6">
        <f>W24/365</f>
        <v>5.4794520547945206E-3</v>
      </c>
      <c r="AE24" s="6">
        <f>AD24*EXP(-AD24*365)</f>
        <v>7.4156319581705592E-4</v>
      </c>
      <c r="AF24" s="6">
        <f>1-EXP(-AD24*365)</f>
        <v>0.8646647167633873</v>
      </c>
      <c r="AG24" s="6">
        <f>EXP(-AD24*365)</f>
        <v>0.1353352832366127</v>
      </c>
    </row>
    <row r="25" spans="2:33" x14ac:dyDescent="0.25">
      <c r="B25" s="6">
        <f t="shared" si="0"/>
        <v>220</v>
      </c>
      <c r="C25" s="10">
        <v>1</v>
      </c>
      <c r="D25" s="5">
        <v>40400</v>
      </c>
      <c r="E25" s="6" t="s">
        <v>370</v>
      </c>
      <c r="F25" s="34">
        <v>180</v>
      </c>
      <c r="G25" s="6">
        <f>COUNT(F25:F25)</f>
        <v>1</v>
      </c>
      <c r="H25" s="6">
        <f>SUM(F25:F25)</f>
        <v>180</v>
      </c>
      <c r="I25" s="6">
        <f>(518400-H25)/G25</f>
        <v>518220</v>
      </c>
      <c r="J25" s="6">
        <f>INT(I25/60/24)</f>
        <v>359</v>
      </c>
      <c r="K25" s="6">
        <f>H25/G25</f>
        <v>180</v>
      </c>
      <c r="L25" s="6">
        <f t="shared" si="2"/>
        <v>13.5</v>
      </c>
      <c r="M25" s="6">
        <f t="shared" si="3"/>
        <v>3.0186917696247164</v>
      </c>
      <c r="N25" s="6">
        <f>G25/365</f>
        <v>2.7397260273972603E-3</v>
      </c>
      <c r="O25" s="6">
        <f>N25*EXP(-N25*365)</f>
        <v>1.0078888799217598E-3</v>
      </c>
      <c r="P25" s="6">
        <f>1-EXP(-N25*365)</f>
        <v>0.63212055882855767</v>
      </c>
      <c r="Q25" s="6">
        <f>EXP(-N25*365)</f>
        <v>0.36787944117144233</v>
      </c>
      <c r="S25" s="31"/>
      <c r="T25" s="31"/>
      <c r="U25" s="43" t="s">
        <v>235</v>
      </c>
      <c r="V25" s="6">
        <f>AVERAGE(V23:V24)</f>
        <v>150</v>
      </c>
      <c r="W25" s="31"/>
      <c r="X25" s="31"/>
      <c r="Y25" s="31"/>
      <c r="Z25" s="31"/>
      <c r="AA25" s="31"/>
      <c r="AB25" s="31"/>
      <c r="AC25" s="31"/>
      <c r="AD25" s="31"/>
      <c r="AE25" s="31"/>
      <c r="AF25" s="31"/>
      <c r="AG25" s="31"/>
    </row>
    <row r="26" spans="2:33" x14ac:dyDescent="0.25">
      <c r="E26" s="43" t="s">
        <v>235</v>
      </c>
      <c r="F26" s="6">
        <f>AVERAGE(F6:F25)</f>
        <v>166.5</v>
      </c>
      <c r="S26" s="6">
        <f>DAYS360($B$5,T26)</f>
        <v>53</v>
      </c>
      <c r="T26" s="5">
        <v>40232</v>
      </c>
      <c r="U26" s="6" t="s">
        <v>349</v>
      </c>
      <c r="V26" s="34">
        <v>180</v>
      </c>
      <c r="W26" s="31"/>
      <c r="X26" s="31"/>
      <c r="Y26" s="31"/>
      <c r="Z26" s="31"/>
      <c r="AA26" s="31"/>
      <c r="AB26" s="31"/>
      <c r="AC26" s="31"/>
      <c r="AD26" s="31"/>
      <c r="AE26" s="31"/>
      <c r="AF26" s="31"/>
      <c r="AG26" s="31"/>
    </row>
    <row r="27" spans="2:33" x14ac:dyDescent="0.25">
      <c r="S27" s="6">
        <f>DAYS360($B$5,T27)</f>
        <v>97</v>
      </c>
      <c r="T27" s="5">
        <v>40275</v>
      </c>
      <c r="U27" s="6" t="s">
        <v>349</v>
      </c>
      <c r="V27" s="34">
        <v>120</v>
      </c>
      <c r="W27" s="31"/>
      <c r="X27" s="31"/>
      <c r="Y27" s="31"/>
      <c r="Z27" s="31"/>
      <c r="AA27" s="31"/>
      <c r="AB27" s="31"/>
      <c r="AC27" s="31"/>
      <c r="AD27" s="31"/>
      <c r="AE27" s="31"/>
      <c r="AF27" s="31"/>
      <c r="AG27" s="31"/>
    </row>
    <row r="28" spans="2:33" x14ac:dyDescent="0.25">
      <c r="B28" s="32" t="s">
        <v>193</v>
      </c>
      <c r="S28" s="6">
        <f>DAYS360($B$5,T28)</f>
        <v>268</v>
      </c>
      <c r="T28" s="5">
        <v>40449</v>
      </c>
      <c r="U28" s="6" t="s">
        <v>349</v>
      </c>
      <c r="V28" s="34">
        <v>120</v>
      </c>
      <c r="W28" s="6">
        <f>COUNT(V26:V28)</f>
        <v>3</v>
      </c>
      <c r="X28" s="6">
        <f>SUM(V26:V28)</f>
        <v>420</v>
      </c>
      <c r="Y28" s="6">
        <f>(518400-X28)/W28</f>
        <v>172660</v>
      </c>
      <c r="Z28" s="6">
        <f>INT(Y28/60/24)</f>
        <v>119</v>
      </c>
      <c r="AA28" s="6">
        <f>X28/W28</f>
        <v>140</v>
      </c>
      <c r="AB28" s="6">
        <f>X28-V29</f>
        <v>280</v>
      </c>
      <c r="AC28" s="6">
        <f>SQRT((AB28*AB28)/COUNT(S26:S28))</f>
        <v>161.65807537309522</v>
      </c>
      <c r="AD28" s="6">
        <f>W28/365</f>
        <v>8.21917808219178E-3</v>
      </c>
      <c r="AE28" s="6">
        <f>AD28*EXP(-AD28*365)</f>
        <v>4.0920878110573119E-4</v>
      </c>
      <c r="AF28" s="6">
        <f>1-EXP(-AD28*365)</f>
        <v>0.95021293163213605</v>
      </c>
      <c r="AG28" s="6">
        <f>EXP(-AD28*365)</f>
        <v>4.9787068367863965E-2</v>
      </c>
    </row>
    <row r="29" spans="2:33" x14ac:dyDescent="0.25">
      <c r="B29" t="s">
        <v>255</v>
      </c>
      <c r="S29" s="31"/>
      <c r="T29" s="31"/>
      <c r="U29" s="43" t="s">
        <v>235</v>
      </c>
      <c r="V29" s="6">
        <f>AVERAGE(V26:V28)</f>
        <v>140</v>
      </c>
      <c r="W29" s="31"/>
      <c r="X29" s="31"/>
      <c r="Y29" s="31"/>
      <c r="Z29" s="31"/>
      <c r="AA29" s="31"/>
      <c r="AB29" s="31"/>
      <c r="AC29" s="31"/>
      <c r="AD29" s="31"/>
      <c r="AE29" s="31"/>
      <c r="AF29" s="31"/>
      <c r="AG29" s="31"/>
    </row>
    <row r="30" spans="2:33" x14ac:dyDescent="0.25">
      <c r="S30" s="6">
        <f>DAYS360($B$5,T30)</f>
        <v>309</v>
      </c>
      <c r="T30" s="5">
        <v>40491</v>
      </c>
      <c r="U30" s="6" t="s">
        <v>351</v>
      </c>
      <c r="V30" s="34">
        <v>120</v>
      </c>
      <c r="W30" s="6">
        <f>COUNT(V30:V30)</f>
        <v>1</v>
      </c>
      <c r="X30" s="6">
        <f>SUM(V30:V30)</f>
        <v>120</v>
      </c>
      <c r="Y30" s="6">
        <f>(518400-X30)/W30</f>
        <v>518280</v>
      </c>
      <c r="Z30" s="6">
        <f>INT(Y30/60/24)</f>
        <v>359</v>
      </c>
      <c r="AA30" s="6">
        <f>X30/W30</f>
        <v>120</v>
      </c>
      <c r="AB30" s="6">
        <f>X30-V31</f>
        <v>0</v>
      </c>
      <c r="AC30" s="6">
        <f>SQRT((AB30*AB30)/COUNT(S30))</f>
        <v>0</v>
      </c>
      <c r="AD30" s="6">
        <f>W30/365</f>
        <v>2.7397260273972603E-3</v>
      </c>
      <c r="AE30" s="6">
        <f>AD30*EXP(-AD30*365)</f>
        <v>1.0078888799217598E-3</v>
      </c>
      <c r="AF30" s="6">
        <f>1-EXP(-AD30*365)</f>
        <v>0.63212055882855767</v>
      </c>
      <c r="AG30" s="6">
        <f>EXP(-AD30*365)</f>
        <v>0.36787944117144233</v>
      </c>
    </row>
    <row r="31" spans="2:33" x14ac:dyDescent="0.25">
      <c r="B31" s="37" t="s">
        <v>209</v>
      </c>
      <c r="S31" s="31"/>
      <c r="T31" s="31"/>
      <c r="U31" s="43" t="s">
        <v>235</v>
      </c>
      <c r="V31" s="6">
        <f>AVERAGE(V30)</f>
        <v>120</v>
      </c>
      <c r="W31" s="31"/>
      <c r="X31" s="31"/>
      <c r="Y31" s="31"/>
      <c r="Z31" s="31"/>
      <c r="AA31" s="31"/>
      <c r="AB31" s="31"/>
      <c r="AC31" s="31"/>
      <c r="AD31" s="31"/>
      <c r="AE31" s="31"/>
      <c r="AF31" s="31"/>
      <c r="AG31" s="31"/>
    </row>
    <row r="32" spans="2:33" x14ac:dyDescent="0.25">
      <c r="B32" s="37" t="s">
        <v>210</v>
      </c>
      <c r="S32" s="6">
        <f>DAYS360($B$5,T32)</f>
        <v>125</v>
      </c>
      <c r="T32" s="5">
        <v>40303</v>
      </c>
      <c r="U32" s="6" t="s">
        <v>417</v>
      </c>
      <c r="V32" s="34">
        <v>30</v>
      </c>
      <c r="W32" s="6">
        <f>COUNT(V32:V32)</f>
        <v>1</v>
      </c>
      <c r="X32" s="6">
        <f>SUM(V32:V32)</f>
        <v>30</v>
      </c>
      <c r="Y32" s="6">
        <f>(518400-X32)/W32</f>
        <v>518370</v>
      </c>
      <c r="Z32" s="6">
        <f>INT(Y32/60/24)</f>
        <v>359</v>
      </c>
      <c r="AA32" s="6">
        <f>X32/W32</f>
        <v>30</v>
      </c>
      <c r="AB32" s="6">
        <f>X32-V33</f>
        <v>0</v>
      </c>
      <c r="AC32" s="6">
        <f>SQRT((AB32*AB32)/COUNT(S32))</f>
        <v>0</v>
      </c>
      <c r="AD32" s="6">
        <f>W32/365</f>
        <v>2.7397260273972603E-3</v>
      </c>
      <c r="AE32" s="6">
        <f>AD32*EXP(-AD32*365)</f>
        <v>1.0078888799217598E-3</v>
      </c>
      <c r="AF32" s="6">
        <f>1-EXP(-AD32*365)</f>
        <v>0.63212055882855767</v>
      </c>
      <c r="AG32" s="6">
        <f>EXP(-AD32*365)</f>
        <v>0.36787944117144233</v>
      </c>
    </row>
    <row r="33" spans="2:33" x14ac:dyDescent="0.25">
      <c r="B33" s="40" t="s">
        <v>222</v>
      </c>
      <c r="S33" s="31"/>
      <c r="T33" s="31"/>
      <c r="U33" s="43" t="s">
        <v>235</v>
      </c>
      <c r="V33" s="6">
        <f>AVERAGE(V32)</f>
        <v>30</v>
      </c>
      <c r="W33" s="31"/>
      <c r="X33" s="31"/>
      <c r="Y33" s="31"/>
      <c r="Z33" s="31"/>
      <c r="AA33" s="31"/>
      <c r="AB33" s="31"/>
      <c r="AC33" s="31"/>
      <c r="AD33" s="31"/>
      <c r="AE33" s="31"/>
      <c r="AF33" s="31"/>
      <c r="AG33" s="31"/>
    </row>
    <row r="34" spans="2:33" x14ac:dyDescent="0.25">
      <c r="B34" s="40" t="s">
        <v>232</v>
      </c>
      <c r="S34" s="6">
        <f>DAYS360($B$5,T34)</f>
        <v>206</v>
      </c>
      <c r="T34" s="5">
        <v>40385</v>
      </c>
      <c r="U34" s="6" t="s">
        <v>404</v>
      </c>
      <c r="V34" s="34">
        <v>180</v>
      </c>
      <c r="W34" s="31"/>
      <c r="X34" s="31"/>
      <c r="Y34" s="31"/>
      <c r="Z34" s="31"/>
      <c r="AA34" s="31"/>
      <c r="AB34" s="31"/>
      <c r="AC34" s="31"/>
      <c r="AD34" s="31"/>
      <c r="AE34" s="31"/>
      <c r="AF34" s="31"/>
      <c r="AG34" s="31"/>
    </row>
    <row r="35" spans="2:33" x14ac:dyDescent="0.25">
      <c r="B35" s="40"/>
      <c r="S35" s="6">
        <f>DAYS360($B$5,T35)</f>
        <v>290</v>
      </c>
      <c r="T35" s="5">
        <v>40471</v>
      </c>
      <c r="U35" s="6" t="s">
        <v>404</v>
      </c>
      <c r="V35" s="34">
        <v>60</v>
      </c>
      <c r="W35" s="6">
        <f>COUNT(V34:V35)</f>
        <v>2</v>
      </c>
      <c r="X35" s="6">
        <f>SUM(V34:V35)</f>
        <v>240</v>
      </c>
      <c r="Y35" s="6">
        <f>(518400-X35)/W35</f>
        <v>259080</v>
      </c>
      <c r="Z35" s="6">
        <f>INT(Y35/60/24)</f>
        <v>179</v>
      </c>
      <c r="AA35" s="6">
        <f>X35/W35</f>
        <v>120</v>
      </c>
      <c r="AB35" s="6">
        <f>X35-V36</f>
        <v>120</v>
      </c>
      <c r="AC35" s="6">
        <f>SQRT((AB35*AB35)/COUNT(S34:S35))</f>
        <v>84.852813742385706</v>
      </c>
      <c r="AD35" s="6">
        <f>W35/365</f>
        <v>5.4794520547945206E-3</v>
      </c>
      <c r="AE35" s="6">
        <f>AD35*EXP(-AD35*365)</f>
        <v>7.4156319581705592E-4</v>
      </c>
      <c r="AF35" s="6">
        <f>1-EXP(-AD35*365)</f>
        <v>0.8646647167633873</v>
      </c>
      <c r="AG35" s="6">
        <f>EXP(-AD35*365)</f>
        <v>0.1353352832366127</v>
      </c>
    </row>
    <row r="36" spans="2:33" x14ac:dyDescent="0.25">
      <c r="B36" t="s">
        <v>234</v>
      </c>
      <c r="S36" s="31"/>
      <c r="T36" s="31"/>
      <c r="U36" s="43" t="s">
        <v>235</v>
      </c>
      <c r="V36" s="6">
        <f>AVERAGE(V34:V35)</f>
        <v>120</v>
      </c>
      <c r="W36" s="31"/>
      <c r="X36" s="31"/>
      <c r="Y36" s="31"/>
      <c r="Z36" s="31"/>
      <c r="AA36" s="31"/>
      <c r="AB36" s="31"/>
      <c r="AC36" s="31"/>
      <c r="AD36" s="31"/>
      <c r="AE36" s="31"/>
      <c r="AF36" s="31"/>
      <c r="AG36" s="31"/>
    </row>
    <row r="38" spans="2:33" x14ac:dyDescent="0.25">
      <c r="B38" t="s">
        <v>225</v>
      </c>
    </row>
    <row r="39" spans="2:33" x14ac:dyDescent="0.25">
      <c r="C39" t="s">
        <v>226</v>
      </c>
    </row>
    <row r="40" spans="2:33" x14ac:dyDescent="0.25">
      <c r="C40" t="s">
        <v>227</v>
      </c>
    </row>
    <row r="41" spans="2:33" x14ac:dyDescent="0.25">
      <c r="C41" t="s">
        <v>228</v>
      </c>
    </row>
    <row r="43" spans="2:33" x14ac:dyDescent="0.25">
      <c r="B43" t="s">
        <v>229</v>
      </c>
    </row>
  </sheetData>
  <sheetProtection sheet="1" objects="1" scenarios="1"/>
  <sortState ref="S6:Z25">
    <sortCondition ref="U6:U25"/>
  </sortState>
  <mergeCells count="2">
    <mergeCell ref="S2:AG3"/>
    <mergeCell ref="B2:Q3"/>
  </mergeCells>
  <pageMargins left="0.7" right="0.7" top="0.75" bottom="0.75" header="0.3" footer="0.3"/>
  <pageSetup paperSize="9" orientation="portrait" horizontalDpi="300" verticalDpi="0" copies="0" r:id="rId1"/>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sheetPr>
  <dimension ref="A1:J64"/>
  <sheetViews>
    <sheetView zoomScale="85" zoomScaleNormal="85" workbookViewId="0">
      <selection activeCell="G45" sqref="G45"/>
    </sheetView>
  </sheetViews>
  <sheetFormatPr defaultRowHeight="15" x14ac:dyDescent="0.25"/>
  <cols>
    <col min="1" max="1" width="10.42578125" style="16" bestFit="1" customWidth="1"/>
    <col min="2" max="2" width="24.28515625" style="16" bestFit="1" customWidth="1"/>
    <col min="3" max="3" width="28.7109375" style="16" bestFit="1" customWidth="1"/>
    <col min="4" max="4" width="32.5703125" style="16" bestFit="1" customWidth="1"/>
    <col min="5" max="5" width="11.7109375" style="16" bestFit="1" customWidth="1"/>
    <col min="6" max="6" width="11.28515625" style="16" bestFit="1" customWidth="1"/>
    <col min="7" max="7" width="20.85546875" style="16" bestFit="1" customWidth="1"/>
    <col min="8" max="8" width="17.85546875" style="16" bestFit="1" customWidth="1"/>
    <col min="9" max="10" width="17.5703125" style="16" bestFit="1" customWidth="1"/>
    <col min="11" max="54" width="9.140625" style="16" customWidth="1"/>
    <col min="55" max="16384" width="9.140625" style="16"/>
  </cols>
  <sheetData>
    <row r="1" spans="1:10" ht="15" customHeight="1" x14ac:dyDescent="0.25"/>
    <row r="2" spans="1:10" ht="15" customHeight="1" x14ac:dyDescent="0.25"/>
    <row r="3" spans="1:10" ht="15" customHeight="1" x14ac:dyDescent="0.25">
      <c r="A3" s="17" t="s">
        <v>165</v>
      </c>
      <c r="B3" s="17" t="s">
        <v>212</v>
      </c>
      <c r="C3" s="17" t="s">
        <v>249</v>
      </c>
      <c r="D3" s="17" t="s">
        <v>249</v>
      </c>
      <c r="E3" s="17" t="s">
        <v>208</v>
      </c>
      <c r="F3" s="17" t="s">
        <v>5</v>
      </c>
      <c r="G3" s="17" t="s">
        <v>2</v>
      </c>
      <c r="H3" s="17" t="s">
        <v>0</v>
      </c>
      <c r="I3" s="17" t="s">
        <v>213</v>
      </c>
      <c r="J3" s="17" t="s">
        <v>213</v>
      </c>
    </row>
    <row r="4" spans="1:10" ht="15" customHeight="1" x14ac:dyDescent="0.25">
      <c r="A4" s="17"/>
      <c r="B4" s="17" t="s">
        <v>215</v>
      </c>
      <c r="C4" s="17" t="s">
        <v>250</v>
      </c>
      <c r="D4" s="17" t="s">
        <v>252</v>
      </c>
      <c r="E4" s="17"/>
      <c r="F4" s="17"/>
      <c r="G4" s="17"/>
      <c r="H4" s="17"/>
      <c r="I4" s="17" t="s">
        <v>216</v>
      </c>
      <c r="J4" s="17" t="s">
        <v>216</v>
      </c>
    </row>
    <row r="5" spans="1:10" ht="15" customHeight="1" x14ac:dyDescent="0.25">
      <c r="A5" s="18">
        <v>40178</v>
      </c>
      <c r="B5" s="18" t="s">
        <v>214</v>
      </c>
      <c r="C5" s="18" t="s">
        <v>253</v>
      </c>
      <c r="D5" s="18" t="s">
        <v>254</v>
      </c>
      <c r="E5" s="18" t="s">
        <v>251</v>
      </c>
      <c r="I5" s="16" t="s">
        <v>214</v>
      </c>
      <c r="J5" s="16" t="s">
        <v>187</v>
      </c>
    </row>
    <row r="6" spans="1:10" ht="15" customHeight="1" x14ac:dyDescent="0.25">
      <c r="A6" s="18"/>
      <c r="B6" s="18"/>
      <c r="C6" s="18"/>
      <c r="D6" s="18"/>
      <c r="E6" s="18"/>
    </row>
    <row r="7" spans="1:10" s="28" customFormat="1" ht="15" customHeight="1" x14ac:dyDescent="0.25">
      <c r="A7" s="28">
        <f>DAYS360($A$5,F7)</f>
        <v>125</v>
      </c>
      <c r="B7" s="22">
        <f>A7*24</f>
        <v>3000</v>
      </c>
      <c r="C7" s="26">
        <f>1-EXP(-$E$7*A7)</f>
        <v>0.28998256536523848</v>
      </c>
      <c r="D7" s="26">
        <f>EXP(-$E$7*A7)</f>
        <v>0.71001743463476152</v>
      </c>
      <c r="E7" s="26">
        <f>'2010 - MTBF, MTTF, Exponencial'!AD32</f>
        <v>2.7397260273972603E-3</v>
      </c>
      <c r="F7" s="23">
        <v>40303</v>
      </c>
      <c r="G7" s="24" t="s">
        <v>406</v>
      </c>
      <c r="H7" s="24" t="s">
        <v>359</v>
      </c>
      <c r="I7" s="24">
        <v>30</v>
      </c>
      <c r="J7" s="24">
        <v>30</v>
      </c>
    </row>
    <row r="8" spans="1:10" s="28" customFormat="1" ht="15" customHeight="1" x14ac:dyDescent="0.25">
      <c r="A8" s="38">
        <f>360-A7</f>
        <v>235</v>
      </c>
      <c r="B8" s="48">
        <f t="shared" ref="B8:B37" si="0">A8*24</f>
        <v>5640</v>
      </c>
      <c r="C8" s="26"/>
      <c r="D8" s="26"/>
      <c r="E8" s="26"/>
    </row>
    <row r="9" spans="1:10" s="28" customFormat="1" ht="15" customHeight="1" x14ac:dyDescent="0.25">
      <c r="A9" s="28">
        <f t="shared" ref="A9:A36" si="1">DAYS360($A$5,F9)</f>
        <v>206</v>
      </c>
      <c r="B9" s="22">
        <f t="shared" si="0"/>
        <v>4944</v>
      </c>
      <c r="C9" s="26">
        <f>1-EXP(-$E$9*A9)</f>
        <v>0.67656823779482345</v>
      </c>
      <c r="D9" s="26">
        <f>EXP(-$E$9*A9)</f>
        <v>0.3234317622051765</v>
      </c>
      <c r="E9" s="26">
        <f>'2010 - MTBF, MTTF, Exponencial'!AD35</f>
        <v>5.4794520547945206E-3</v>
      </c>
      <c r="F9" s="23">
        <v>40385</v>
      </c>
      <c r="G9" s="24" t="s">
        <v>409</v>
      </c>
      <c r="H9" s="24" t="s">
        <v>6</v>
      </c>
      <c r="I9" s="24">
        <v>180</v>
      </c>
      <c r="J9" s="24">
        <v>180</v>
      </c>
    </row>
    <row r="10" spans="1:10" s="28" customFormat="1" ht="15" customHeight="1" x14ac:dyDescent="0.25">
      <c r="A10" s="28">
        <f>DAYS360($A$5,F10)-A9</f>
        <v>84</v>
      </c>
      <c r="B10" s="22">
        <f t="shared" si="0"/>
        <v>2016</v>
      </c>
      <c r="C10" s="26">
        <f>1-EXP(-$E$9*A10)</f>
        <v>0.3688892852262774</v>
      </c>
      <c r="D10" s="26">
        <f>EXP(-$E$9*A10)</f>
        <v>0.6311107147737226</v>
      </c>
      <c r="E10" s="57"/>
      <c r="F10" s="23">
        <v>40471</v>
      </c>
      <c r="G10" s="24" t="s">
        <v>409</v>
      </c>
      <c r="H10" s="24" t="s">
        <v>6</v>
      </c>
      <c r="I10" s="24">
        <v>60</v>
      </c>
      <c r="J10" s="24">
        <v>60</v>
      </c>
    </row>
    <row r="11" spans="1:10" s="28" customFormat="1" ht="15" customHeight="1" x14ac:dyDescent="0.25">
      <c r="A11" s="38">
        <f>360-SUM(A9:A10)</f>
        <v>70</v>
      </c>
      <c r="B11" s="48">
        <f t="shared" si="0"/>
        <v>1680</v>
      </c>
      <c r="C11" s="26"/>
      <c r="D11" s="26"/>
      <c r="E11" s="56"/>
    </row>
    <row r="12" spans="1:10" s="28" customFormat="1" ht="15" customHeight="1" x14ac:dyDescent="0.25">
      <c r="A12" s="28">
        <f t="shared" si="1"/>
        <v>32</v>
      </c>
      <c r="B12" s="22">
        <f t="shared" si="0"/>
        <v>768</v>
      </c>
      <c r="C12" s="26">
        <f>1-EXP(-$E$7*A12)</f>
        <v>8.3938001710891497E-2</v>
      </c>
      <c r="D12" s="26">
        <f>EXP(-$E$7*A12)</f>
        <v>0.9160619982891085</v>
      </c>
      <c r="E12" s="56">
        <f>'2010 - MTBF, MTTF, Exponencial'!AD9</f>
        <v>5.4794520547945206E-3</v>
      </c>
      <c r="F12" s="23">
        <v>40211</v>
      </c>
      <c r="G12" s="24" t="s">
        <v>326</v>
      </c>
      <c r="H12" s="24" t="s">
        <v>353</v>
      </c>
      <c r="I12" s="24">
        <v>240</v>
      </c>
      <c r="J12" s="24">
        <v>240</v>
      </c>
    </row>
    <row r="13" spans="1:10" s="28" customFormat="1" ht="15" customHeight="1" x14ac:dyDescent="0.25">
      <c r="A13" s="28">
        <f>DAYS360($A$5,F13)-A12</f>
        <v>8</v>
      </c>
      <c r="B13" s="22">
        <f t="shared" si="0"/>
        <v>192</v>
      </c>
      <c r="C13" s="26"/>
      <c r="D13" s="26"/>
      <c r="E13" s="57"/>
      <c r="F13" s="23">
        <v>40219</v>
      </c>
      <c r="G13" s="24" t="s">
        <v>326</v>
      </c>
      <c r="H13" s="24" t="s">
        <v>353</v>
      </c>
      <c r="I13" s="24">
        <v>120</v>
      </c>
      <c r="J13" s="24">
        <v>120</v>
      </c>
    </row>
    <row r="14" spans="1:10" s="28" customFormat="1" ht="15" customHeight="1" x14ac:dyDescent="0.25">
      <c r="A14" s="38">
        <f>360-SUM(A12:A13)</f>
        <v>320</v>
      </c>
      <c r="B14" s="48">
        <f t="shared" si="0"/>
        <v>7680</v>
      </c>
      <c r="C14" s="26"/>
      <c r="D14" s="26"/>
      <c r="E14" s="56"/>
    </row>
    <row r="15" spans="1:10" s="28" customFormat="1" ht="15" customHeight="1" x14ac:dyDescent="0.25">
      <c r="A15" s="28">
        <f t="shared" si="1"/>
        <v>304</v>
      </c>
      <c r="B15" s="22">
        <f t="shared" si="0"/>
        <v>7296</v>
      </c>
      <c r="C15" s="26">
        <f>1-EXP(-$E$7*A15)</f>
        <v>0.56520329950801473</v>
      </c>
      <c r="D15" s="26">
        <f>EXP(-$E$7*A15)</f>
        <v>0.43479670049198532</v>
      </c>
      <c r="E15" s="56">
        <f>'2010 - MTBF, MTTF, Exponencial'!AD11</f>
        <v>2.7397260273972603E-3</v>
      </c>
      <c r="F15" s="23">
        <v>40486</v>
      </c>
      <c r="G15" s="24" t="s">
        <v>326</v>
      </c>
      <c r="H15" s="24" t="s">
        <v>6</v>
      </c>
      <c r="I15" s="24">
        <v>480</v>
      </c>
      <c r="J15" s="24">
        <v>480</v>
      </c>
    </row>
    <row r="16" spans="1:10" s="28" customFormat="1" ht="15" customHeight="1" x14ac:dyDescent="0.25">
      <c r="A16" s="38">
        <f>360-A15</f>
        <v>56</v>
      </c>
      <c r="B16" s="48">
        <f t="shared" si="0"/>
        <v>1344</v>
      </c>
      <c r="C16" s="26"/>
      <c r="D16" s="26"/>
      <c r="E16" s="56"/>
    </row>
    <row r="17" spans="1:10" s="28" customFormat="1" ht="15" customHeight="1" x14ac:dyDescent="0.25">
      <c r="A17" s="28">
        <f t="shared" si="1"/>
        <v>21</v>
      </c>
      <c r="B17" s="22">
        <f t="shared" si="0"/>
        <v>504</v>
      </c>
      <c r="C17" s="26">
        <f>1-EXP(-$E$17*A17)</f>
        <v>0.20557523026171787</v>
      </c>
      <c r="D17" s="26">
        <f>EXP(-$E$17*A17)</f>
        <v>0.79442476973828213</v>
      </c>
      <c r="E17" s="56">
        <f>'2010 - MTBF, MTTF, Exponencial'!AD16</f>
        <v>1.0958904109589041E-2</v>
      </c>
      <c r="F17" s="23">
        <v>40199</v>
      </c>
      <c r="G17" s="24" t="s">
        <v>333</v>
      </c>
      <c r="H17" s="24" t="s">
        <v>353</v>
      </c>
      <c r="I17" s="24">
        <v>240</v>
      </c>
      <c r="J17" s="24">
        <v>240</v>
      </c>
    </row>
    <row r="18" spans="1:10" s="28" customFormat="1" ht="15" customHeight="1" x14ac:dyDescent="0.25">
      <c r="A18" s="28">
        <f>DAYS360($A$5,F18)-A17</f>
        <v>101</v>
      </c>
      <c r="B18" s="22">
        <f t="shared" si="0"/>
        <v>2424</v>
      </c>
      <c r="C18" s="26">
        <f t="shared" ref="C18:C20" si="2">1-EXP(-$E$17*A18)</f>
        <v>0.66940106501735097</v>
      </c>
      <c r="D18" s="26">
        <f t="shared" ref="D18:D20" si="3">EXP(-$E$17*A18)</f>
        <v>0.33059893498264908</v>
      </c>
      <c r="E18" s="57"/>
      <c r="F18" s="23">
        <v>40300</v>
      </c>
      <c r="G18" s="24" t="s">
        <v>333</v>
      </c>
      <c r="H18" s="24" t="s">
        <v>353</v>
      </c>
      <c r="I18" s="24">
        <v>120</v>
      </c>
      <c r="J18" s="24">
        <v>120</v>
      </c>
    </row>
    <row r="19" spans="1:10" s="28" customFormat="1" ht="15" customHeight="1" x14ac:dyDescent="0.25">
      <c r="A19" s="28">
        <f>DAYS360($A$5,F19)-A18-A17</f>
        <v>138</v>
      </c>
      <c r="B19" s="22">
        <f t="shared" si="0"/>
        <v>3312</v>
      </c>
      <c r="C19" s="26">
        <f t="shared" si="2"/>
        <v>0.77960387138454679</v>
      </c>
      <c r="D19" s="26">
        <f t="shared" si="3"/>
        <v>0.22039612861545319</v>
      </c>
      <c r="E19" s="57"/>
      <c r="F19" s="23">
        <v>40441</v>
      </c>
      <c r="G19" s="24" t="s">
        <v>333</v>
      </c>
      <c r="H19" s="24" t="s">
        <v>353</v>
      </c>
      <c r="I19" s="24">
        <v>180</v>
      </c>
      <c r="J19" s="24">
        <v>180</v>
      </c>
    </row>
    <row r="20" spans="1:10" s="28" customFormat="1" ht="15" customHeight="1" x14ac:dyDescent="0.25">
      <c r="A20" s="28">
        <f>DAYS360($A$5,F20)-A19-A18-A17</f>
        <v>7</v>
      </c>
      <c r="B20" s="22">
        <f t="shared" si="0"/>
        <v>168</v>
      </c>
      <c r="C20" s="26">
        <f t="shared" si="2"/>
        <v>7.3843756203249455E-2</v>
      </c>
      <c r="D20" s="26">
        <f t="shared" si="3"/>
        <v>0.92615624379675054</v>
      </c>
      <c r="E20" s="57"/>
      <c r="F20" s="23">
        <v>40448</v>
      </c>
      <c r="G20" s="24" t="s">
        <v>333</v>
      </c>
      <c r="H20" s="24" t="s">
        <v>353</v>
      </c>
      <c r="I20" s="24">
        <v>120</v>
      </c>
      <c r="J20" s="24">
        <v>120</v>
      </c>
    </row>
    <row r="21" spans="1:10" s="28" customFormat="1" ht="15" customHeight="1" x14ac:dyDescent="0.25">
      <c r="A21" s="38">
        <f>360-SUM(A17:A20)</f>
        <v>93</v>
      </c>
      <c r="B21" s="48">
        <f t="shared" si="0"/>
        <v>2232</v>
      </c>
      <c r="C21" s="26"/>
      <c r="D21" s="26"/>
      <c r="E21" s="56"/>
    </row>
    <row r="22" spans="1:10" s="28" customFormat="1" ht="15" customHeight="1" x14ac:dyDescent="0.25">
      <c r="A22" s="28">
        <f t="shared" si="1"/>
        <v>98</v>
      </c>
      <c r="B22" s="22">
        <f t="shared" si="0"/>
        <v>2352</v>
      </c>
      <c r="C22" s="26">
        <f>1-EXP(-$E$22*A22)</f>
        <v>0.41549287098528664</v>
      </c>
      <c r="D22" s="26">
        <f>EXP(-$E$22*A22)</f>
        <v>0.58450712901471336</v>
      </c>
      <c r="E22" s="56">
        <f>'2010 - MTBF, MTTF, Exponencial'!AD19</f>
        <v>5.4794520547945206E-3</v>
      </c>
      <c r="F22" s="23">
        <v>40276</v>
      </c>
      <c r="G22" s="24" t="s">
        <v>333</v>
      </c>
      <c r="H22" s="24" t="s">
        <v>6</v>
      </c>
      <c r="I22" s="24">
        <v>300</v>
      </c>
      <c r="J22" s="24">
        <v>300</v>
      </c>
    </row>
    <row r="23" spans="1:10" s="28" customFormat="1" ht="15" customHeight="1" x14ac:dyDescent="0.25">
      <c r="A23" s="28">
        <f>DAYS360($A$5,F23)-A22</f>
        <v>112</v>
      </c>
      <c r="B23" s="22">
        <f t="shared" si="0"/>
        <v>2688</v>
      </c>
      <c r="C23" s="26">
        <f>1-EXP(-$E$22*A23)</f>
        <v>0.4586550729193104</v>
      </c>
      <c r="D23" s="26">
        <f>EXP(-$E$22*A23)</f>
        <v>0.5413449270806896</v>
      </c>
      <c r="E23" s="57"/>
      <c r="F23" s="23">
        <v>40389</v>
      </c>
      <c r="G23" s="24" t="s">
        <v>333</v>
      </c>
      <c r="H23" s="24" t="s">
        <v>6</v>
      </c>
      <c r="I23" s="24">
        <v>120</v>
      </c>
      <c r="J23" s="24">
        <v>120</v>
      </c>
    </row>
    <row r="24" spans="1:10" s="28" customFormat="1" ht="15" customHeight="1" x14ac:dyDescent="0.25">
      <c r="A24" s="38">
        <f>360-SUM(A22:A23)</f>
        <v>150</v>
      </c>
      <c r="B24" s="48">
        <f t="shared" si="0"/>
        <v>3600</v>
      </c>
      <c r="C24" s="26"/>
      <c r="D24" s="26"/>
      <c r="E24" s="56"/>
    </row>
    <row r="25" spans="1:10" s="28" customFormat="1" ht="15" customHeight="1" x14ac:dyDescent="0.25">
      <c r="A25" s="28">
        <f t="shared" si="1"/>
        <v>289</v>
      </c>
      <c r="B25" s="22">
        <f t="shared" si="0"/>
        <v>6936</v>
      </c>
      <c r="C25" s="26">
        <f>1-EXP(-$E$25*A25)</f>
        <v>0.54696270225830346</v>
      </c>
      <c r="D25" s="26">
        <f>EXP(-$E$25*A25)</f>
        <v>0.45303729774169654</v>
      </c>
      <c r="E25" s="56">
        <f>'2010 - MTBF, MTTF, Exponencial'!AD21</f>
        <v>2.7397260273972603E-3</v>
      </c>
      <c r="F25" s="23">
        <v>40470</v>
      </c>
      <c r="G25" s="24" t="s">
        <v>342</v>
      </c>
      <c r="H25" s="24" t="s">
        <v>369</v>
      </c>
      <c r="I25" s="24">
        <v>120</v>
      </c>
      <c r="J25" s="24">
        <v>120</v>
      </c>
    </row>
    <row r="26" spans="1:10" s="28" customFormat="1" ht="15" customHeight="1" x14ac:dyDescent="0.25">
      <c r="A26" s="38">
        <f>360-A25</f>
        <v>71</v>
      </c>
      <c r="B26" s="48">
        <f t="shared" si="0"/>
        <v>1704</v>
      </c>
      <c r="C26" s="26"/>
      <c r="D26" s="26"/>
      <c r="E26" s="56"/>
    </row>
    <row r="27" spans="1:10" s="28" customFormat="1" ht="15" customHeight="1" x14ac:dyDescent="0.25">
      <c r="A27" s="28">
        <f t="shared" si="1"/>
        <v>240</v>
      </c>
      <c r="B27" s="22">
        <f t="shared" si="0"/>
        <v>5760</v>
      </c>
      <c r="C27" s="26">
        <f>1-EXP(-$E$27*A27)</f>
        <v>0.73154406478330603</v>
      </c>
      <c r="D27" s="26">
        <f>EXP(-$E$27*A27)</f>
        <v>0.26845593521669392</v>
      </c>
      <c r="E27" s="56">
        <f>'2010 - MTBF, MTTF, Exponencial'!AD24</f>
        <v>5.4794520547945206E-3</v>
      </c>
      <c r="F27" s="23">
        <v>40420</v>
      </c>
      <c r="G27" s="24" t="s">
        <v>342</v>
      </c>
      <c r="H27" s="24" t="s">
        <v>353</v>
      </c>
      <c r="I27" s="24">
        <v>60</v>
      </c>
      <c r="J27" s="24">
        <v>60</v>
      </c>
    </row>
    <row r="28" spans="1:10" ht="15" customHeight="1" x14ac:dyDescent="0.25">
      <c r="A28" s="28">
        <f>DAYS360($A$5,F28)-A27</f>
        <v>45</v>
      </c>
      <c r="B28" s="22">
        <f t="shared" si="0"/>
        <v>1080</v>
      </c>
      <c r="C28" s="26">
        <f>1-EXP(-$E$27*A28)</f>
        <v>0.21852751874471654</v>
      </c>
      <c r="D28" s="26">
        <f>EXP(-$E$27*A28)</f>
        <v>0.78147248125528346</v>
      </c>
      <c r="E28" s="57"/>
      <c r="F28" s="23">
        <v>40466</v>
      </c>
      <c r="G28" s="24" t="s">
        <v>342</v>
      </c>
      <c r="H28" s="24" t="s">
        <v>353</v>
      </c>
      <c r="I28" s="24">
        <v>240</v>
      </c>
      <c r="J28" s="24">
        <v>240</v>
      </c>
    </row>
    <row r="29" spans="1:10" ht="15" customHeight="1" x14ac:dyDescent="0.25">
      <c r="A29" s="38">
        <f>360-SUM(A27:A28)</f>
        <v>75</v>
      </c>
      <c r="B29" s="48">
        <f t="shared" si="0"/>
        <v>1800</v>
      </c>
      <c r="C29" s="26"/>
      <c r="D29" s="26"/>
      <c r="E29" s="56"/>
    </row>
    <row r="30" spans="1:10" ht="15" customHeight="1" x14ac:dyDescent="0.25">
      <c r="A30" s="28">
        <f t="shared" si="1"/>
        <v>53</v>
      </c>
      <c r="B30" s="22">
        <f t="shared" si="0"/>
        <v>1272</v>
      </c>
      <c r="C30" s="26">
        <f>1-EXP(-$E$30*A30)</f>
        <v>0.3531342087355358</v>
      </c>
      <c r="D30" s="26">
        <f>EXP(-$E$30*A30)</f>
        <v>0.6468657912644642</v>
      </c>
      <c r="E30" s="56">
        <f>'2010 - MTBF, MTTF, Exponencial'!AD28</f>
        <v>8.21917808219178E-3</v>
      </c>
      <c r="F30" s="23">
        <v>40232</v>
      </c>
      <c r="G30" s="24" t="s">
        <v>342</v>
      </c>
      <c r="H30" s="24" t="s">
        <v>6</v>
      </c>
      <c r="I30" s="24">
        <v>180</v>
      </c>
      <c r="J30" s="24">
        <v>180</v>
      </c>
    </row>
    <row r="31" spans="1:10" ht="15" customHeight="1" x14ac:dyDescent="0.25">
      <c r="A31" s="28">
        <f>DAYS360($A$5,F31)-A30</f>
        <v>44</v>
      </c>
      <c r="B31" s="22">
        <f t="shared" si="0"/>
        <v>1056</v>
      </c>
      <c r="C31" s="26">
        <f t="shared" ref="C31:C32" si="4">1-EXP(-$E$30*A31)</f>
        <v>0.30346959700988096</v>
      </c>
      <c r="D31" s="26">
        <f t="shared" ref="D31:D32" si="5">EXP(-$E$30*A31)</f>
        <v>0.69653040299011904</v>
      </c>
      <c r="E31" s="57"/>
      <c r="F31" s="23">
        <v>40275</v>
      </c>
      <c r="G31" s="24" t="s">
        <v>342</v>
      </c>
      <c r="H31" s="24" t="s">
        <v>6</v>
      </c>
      <c r="I31" s="24">
        <v>120</v>
      </c>
      <c r="J31" s="24">
        <v>120</v>
      </c>
    </row>
    <row r="32" spans="1:10" ht="15" customHeight="1" x14ac:dyDescent="0.25">
      <c r="A32" s="28">
        <f>DAYS360($A$5,F32)-A31-A30</f>
        <v>171</v>
      </c>
      <c r="B32" s="22">
        <f t="shared" si="0"/>
        <v>4104</v>
      </c>
      <c r="C32" s="26">
        <f t="shared" si="4"/>
        <v>0.75475055708918859</v>
      </c>
      <c r="D32" s="26">
        <f t="shared" si="5"/>
        <v>0.24524944291081138</v>
      </c>
      <c r="E32" s="57"/>
      <c r="F32" s="23">
        <v>40449</v>
      </c>
      <c r="G32" s="24" t="s">
        <v>342</v>
      </c>
      <c r="H32" s="24" t="s">
        <v>6</v>
      </c>
      <c r="I32" s="24">
        <v>120</v>
      </c>
      <c r="J32" s="24">
        <v>120</v>
      </c>
    </row>
    <row r="33" spans="1:10" ht="15" customHeight="1" x14ac:dyDescent="0.25">
      <c r="A33" s="38">
        <f>360-SUM(A30:A32)</f>
        <v>92</v>
      </c>
      <c r="B33" s="48">
        <f t="shared" si="0"/>
        <v>2208</v>
      </c>
      <c r="C33" s="26"/>
      <c r="D33" s="26"/>
      <c r="E33" s="56"/>
    </row>
    <row r="34" spans="1:10" ht="15" customHeight="1" x14ac:dyDescent="0.25">
      <c r="A34" s="28">
        <f t="shared" si="1"/>
        <v>309</v>
      </c>
      <c r="B34" s="22">
        <f t="shared" si="0"/>
        <v>7416</v>
      </c>
      <c r="C34" s="26">
        <f>1-EXP(-$E$34*A34)</f>
        <v>0.57111880899982947</v>
      </c>
      <c r="D34" s="26">
        <f>EXP(-$E$34*A34)</f>
        <v>0.42888119100017053</v>
      </c>
      <c r="E34" s="56">
        <f>'2010 - MTBF, MTTF, Exponencial'!AD30</f>
        <v>2.7397260273972603E-3</v>
      </c>
      <c r="F34" s="23">
        <v>40491</v>
      </c>
      <c r="G34" s="24" t="s">
        <v>342</v>
      </c>
      <c r="H34" s="24" t="s">
        <v>368</v>
      </c>
      <c r="I34" s="24">
        <v>120</v>
      </c>
      <c r="J34" s="24">
        <v>120</v>
      </c>
    </row>
    <row r="35" spans="1:10" ht="15" customHeight="1" x14ac:dyDescent="0.25">
      <c r="A35" s="38">
        <f>360-A34</f>
        <v>51</v>
      </c>
      <c r="B35" s="48">
        <f t="shared" si="0"/>
        <v>1224</v>
      </c>
      <c r="C35" s="26"/>
      <c r="D35" s="26"/>
      <c r="E35" s="56"/>
    </row>
    <row r="36" spans="1:10" ht="15" customHeight="1" x14ac:dyDescent="0.25">
      <c r="A36" s="49">
        <f t="shared" si="1"/>
        <v>220</v>
      </c>
      <c r="B36" s="50">
        <f t="shared" si="0"/>
        <v>5280</v>
      </c>
      <c r="C36" s="26">
        <f>1-EXP(-$E$36*A36)</f>
        <v>0.45268989959209582</v>
      </c>
      <c r="D36" s="26">
        <f>EXP(-$E$36*A36)</f>
        <v>0.54731010040790418</v>
      </c>
      <c r="E36" s="56">
        <f>'2010 - MTBF, MTTF, Exponencial'!AD6</f>
        <v>2.7397260273972603E-3</v>
      </c>
      <c r="F36" s="51">
        <v>40400</v>
      </c>
      <c r="G36" s="24" t="s">
        <v>370</v>
      </c>
      <c r="H36" s="24" t="s">
        <v>378</v>
      </c>
      <c r="I36" s="24">
        <v>180</v>
      </c>
      <c r="J36" s="24">
        <v>180</v>
      </c>
    </row>
    <row r="37" spans="1:10" ht="15" customHeight="1" x14ac:dyDescent="0.25">
      <c r="A37" s="38">
        <f>360-A36</f>
        <v>140</v>
      </c>
      <c r="B37" s="48">
        <f t="shared" si="0"/>
        <v>3360</v>
      </c>
      <c r="C37" s="39"/>
      <c r="D37" s="39"/>
      <c r="E37" s="39"/>
      <c r="F37" s="27"/>
      <c r="G37" s="28"/>
      <c r="H37" s="28"/>
    </row>
    <row r="38" spans="1:10" ht="15" customHeight="1" x14ac:dyDescent="0.25">
      <c r="A38" s="28"/>
      <c r="B38" s="22"/>
      <c r="C38" s="26"/>
      <c r="D38" s="26"/>
      <c r="F38" s="27"/>
      <c r="G38" s="28"/>
      <c r="H38" s="28"/>
    </row>
    <row r="39" spans="1:10" ht="15" customHeight="1" x14ac:dyDescent="0.25">
      <c r="A39" s="28"/>
      <c r="B39" s="22"/>
      <c r="F39" s="27"/>
      <c r="G39" s="28"/>
      <c r="H39" s="28"/>
    </row>
    <row r="40" spans="1:10" ht="15" customHeight="1" x14ac:dyDescent="0.25">
      <c r="C40" s="26"/>
      <c r="D40" s="26"/>
    </row>
    <row r="41" spans="1:10" x14ac:dyDescent="0.25">
      <c r="A41"/>
    </row>
    <row r="42" spans="1:10" x14ac:dyDescent="0.25">
      <c r="C42" s="26"/>
      <c r="D42" s="26"/>
    </row>
    <row r="43" spans="1:10" x14ac:dyDescent="0.25">
      <c r="C43" s="26"/>
      <c r="D43" s="26"/>
    </row>
    <row r="44" spans="1:10" x14ac:dyDescent="0.25">
      <c r="C44" s="26"/>
      <c r="D44" s="26"/>
    </row>
    <row r="46" spans="1:10" x14ac:dyDescent="0.25">
      <c r="C46" s="26"/>
      <c r="D46" s="26"/>
    </row>
    <row r="48" spans="1:10" x14ac:dyDescent="0.25">
      <c r="C48" s="26"/>
      <c r="D48" s="26"/>
    </row>
    <row r="50" spans="1:8" x14ac:dyDescent="0.25">
      <c r="C50" s="26"/>
      <c r="D50" s="26"/>
    </row>
    <row r="52" spans="1:8" x14ac:dyDescent="0.25">
      <c r="C52" s="26"/>
      <c r="D52" s="26"/>
    </row>
    <row r="53" spans="1:8" x14ac:dyDescent="0.25">
      <c r="A53" s="20"/>
      <c r="B53" s="20"/>
    </row>
    <row r="54" spans="1:8" ht="21" x14ac:dyDescent="0.35">
      <c r="A54" s="15"/>
      <c r="B54" s="15"/>
      <c r="C54" s="26"/>
      <c r="D54" s="26"/>
    </row>
    <row r="56" spans="1:8" x14ac:dyDescent="0.25">
      <c r="C56" s="26"/>
      <c r="D56" s="26"/>
      <c r="H56" s="17"/>
    </row>
    <row r="63" spans="1:8" x14ac:dyDescent="0.25">
      <c r="C63" s="20"/>
      <c r="D63" s="20"/>
      <c r="E63" s="20"/>
    </row>
    <row r="64" spans="1:8" ht="21" x14ac:dyDescent="0.35">
      <c r="C64" s="15"/>
      <c r="D64" s="15"/>
      <c r="E64" s="15"/>
    </row>
  </sheetData>
  <sheetProtection sheet="1" objects="1" scenarios="1"/>
  <pageMargins left="0.7" right="0.7" top="0.75" bottom="0.75" header="0.3" footer="0.3"/>
  <pageSetup paperSize="9" orientation="portrait" horizontalDpi="300" r:id="rId1"/>
  <drawing r:id="rId2"/>
  <legacyDrawing r:id="rId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B2:AG29"/>
  <sheetViews>
    <sheetView zoomScale="85" zoomScaleNormal="85" workbookViewId="0">
      <selection activeCell="H44" sqref="H44"/>
    </sheetView>
  </sheetViews>
  <sheetFormatPr defaultRowHeight="15" x14ac:dyDescent="0.25"/>
  <cols>
    <col min="1" max="1" width="3" customWidth="1"/>
    <col min="2" max="2" width="10.42578125" bestFit="1" customWidth="1"/>
    <col min="3" max="3" width="12" bestFit="1" customWidth="1"/>
    <col min="4" max="4" width="10.42578125" bestFit="1" customWidth="1"/>
    <col min="5" max="5" width="20" bestFit="1" customWidth="1"/>
    <col min="7" max="7" width="10.85546875" bestFit="1" customWidth="1"/>
    <col min="8" max="8" width="14.85546875" bestFit="1" customWidth="1"/>
    <col min="9" max="9" width="12" bestFit="1" customWidth="1"/>
    <col min="10" max="10" width="11.28515625" bestFit="1" customWidth="1"/>
    <col min="11" max="11" width="11.28515625" customWidth="1"/>
    <col min="12" max="12" width="12.28515625" bestFit="1" customWidth="1"/>
    <col min="13" max="13" width="13.7109375" bestFit="1" customWidth="1"/>
    <col min="14" max="15" width="12" bestFit="1" customWidth="1"/>
    <col min="16" max="16" width="12" customWidth="1"/>
    <col min="17" max="17" width="14" bestFit="1" customWidth="1"/>
    <col min="19" max="20" width="10.42578125" bestFit="1" customWidth="1"/>
    <col min="21" max="21" width="20" bestFit="1" customWidth="1"/>
    <col min="23" max="23" width="10.85546875" bestFit="1" customWidth="1"/>
    <col min="24" max="24" width="14.85546875" bestFit="1" customWidth="1"/>
    <col min="25" max="25" width="12" bestFit="1" customWidth="1"/>
    <col min="26" max="26" width="11.42578125" bestFit="1" customWidth="1"/>
    <col min="27" max="28" width="11.42578125" customWidth="1"/>
    <col min="29" max="29" width="13.7109375" bestFit="1" customWidth="1"/>
    <col min="30" max="32" width="12" bestFit="1" customWidth="1"/>
    <col min="33" max="33" width="14" bestFit="1" customWidth="1"/>
  </cols>
  <sheetData>
    <row r="2" spans="2:33" ht="15" customHeight="1" x14ac:dyDescent="0.25">
      <c r="B2" s="124" t="s">
        <v>327</v>
      </c>
      <c r="C2" s="125"/>
      <c r="D2" s="125"/>
      <c r="E2" s="125"/>
      <c r="F2" s="125"/>
      <c r="G2" s="125"/>
      <c r="H2" s="125"/>
      <c r="I2" s="125"/>
      <c r="J2" s="125"/>
      <c r="K2" s="125"/>
      <c r="L2" s="125"/>
      <c r="M2" s="125"/>
      <c r="N2" s="125"/>
      <c r="O2" s="125"/>
      <c r="P2" s="125"/>
      <c r="Q2" s="126"/>
      <c r="S2" s="123" t="s">
        <v>328</v>
      </c>
      <c r="T2" s="123"/>
      <c r="U2" s="123"/>
      <c r="V2" s="123"/>
      <c r="W2" s="123"/>
      <c r="X2" s="123"/>
      <c r="Y2" s="123"/>
      <c r="Z2" s="123"/>
      <c r="AA2" s="123"/>
      <c r="AB2" s="123"/>
      <c r="AC2" s="123"/>
      <c r="AD2" s="123"/>
      <c r="AE2" s="123"/>
      <c r="AF2" s="123"/>
      <c r="AG2" s="123"/>
    </row>
    <row r="3" spans="2:33" x14ac:dyDescent="0.25">
      <c r="B3" s="127"/>
      <c r="C3" s="128"/>
      <c r="D3" s="128"/>
      <c r="E3" s="128"/>
      <c r="F3" s="128"/>
      <c r="G3" s="128"/>
      <c r="H3" s="128"/>
      <c r="I3" s="128"/>
      <c r="J3" s="128"/>
      <c r="K3" s="128"/>
      <c r="L3" s="128"/>
      <c r="M3" s="128"/>
      <c r="N3" s="128"/>
      <c r="O3" s="128"/>
      <c r="P3" s="128"/>
      <c r="Q3" s="129"/>
      <c r="S3" s="123"/>
      <c r="T3" s="123"/>
      <c r="U3" s="123"/>
      <c r="V3" s="123"/>
      <c r="W3" s="123"/>
      <c r="X3" s="123"/>
      <c r="Y3" s="123"/>
      <c r="Z3" s="123"/>
      <c r="AA3" s="123"/>
      <c r="AB3" s="123"/>
      <c r="AC3" s="123"/>
      <c r="AD3" s="123"/>
      <c r="AE3" s="123"/>
      <c r="AF3" s="123"/>
      <c r="AG3" s="123"/>
    </row>
    <row r="4" spans="2:33" x14ac:dyDescent="0.25">
      <c r="B4" s="7" t="s">
        <v>165</v>
      </c>
      <c r="C4" s="7" t="s">
        <v>168</v>
      </c>
      <c r="D4" s="7" t="s">
        <v>5</v>
      </c>
      <c r="E4" s="7" t="s">
        <v>2</v>
      </c>
      <c r="F4" s="7" t="s">
        <v>185</v>
      </c>
      <c r="G4" s="7" t="s">
        <v>191</v>
      </c>
      <c r="H4" s="7" t="s">
        <v>192</v>
      </c>
      <c r="I4" s="7" t="s">
        <v>194</v>
      </c>
      <c r="J4" s="7" t="s">
        <v>194</v>
      </c>
      <c r="K4" s="7" t="s">
        <v>223</v>
      </c>
      <c r="L4" s="7" t="s">
        <v>238</v>
      </c>
      <c r="M4" s="7" t="s">
        <v>236</v>
      </c>
      <c r="N4" s="41" t="s">
        <v>208</v>
      </c>
      <c r="O4" s="41" t="s">
        <v>230</v>
      </c>
      <c r="P4" s="41" t="s">
        <v>231</v>
      </c>
      <c r="Q4" s="41" t="s">
        <v>211</v>
      </c>
      <c r="S4" s="7" t="s">
        <v>165</v>
      </c>
      <c r="T4" s="7" t="s">
        <v>5</v>
      </c>
      <c r="U4" s="7" t="s">
        <v>197</v>
      </c>
      <c r="V4" s="7" t="s">
        <v>185</v>
      </c>
      <c r="W4" s="7" t="s">
        <v>191</v>
      </c>
      <c r="X4" s="7" t="s">
        <v>192</v>
      </c>
      <c r="Y4" s="7" t="s">
        <v>198</v>
      </c>
      <c r="Z4" s="7" t="s">
        <v>198</v>
      </c>
      <c r="AA4" s="7" t="s">
        <v>224</v>
      </c>
      <c r="AB4" s="7" t="s">
        <v>238</v>
      </c>
      <c r="AC4" s="7" t="s">
        <v>236</v>
      </c>
      <c r="AD4" s="41" t="s">
        <v>208</v>
      </c>
      <c r="AE4" s="41" t="s">
        <v>230</v>
      </c>
      <c r="AF4" s="41" t="s">
        <v>231</v>
      </c>
      <c r="AG4" s="41" t="s">
        <v>211</v>
      </c>
    </row>
    <row r="5" spans="2:33" x14ac:dyDescent="0.25">
      <c r="B5" s="8"/>
      <c r="C5" s="8"/>
      <c r="D5" s="9"/>
      <c r="E5" s="9"/>
      <c r="F5" s="9" t="s">
        <v>187</v>
      </c>
      <c r="G5" s="9"/>
      <c r="H5" s="9" t="s">
        <v>187</v>
      </c>
      <c r="I5" s="9" t="s">
        <v>187</v>
      </c>
      <c r="J5" s="9" t="s">
        <v>199</v>
      </c>
      <c r="K5" s="9" t="s">
        <v>187</v>
      </c>
      <c r="L5" s="9" t="s">
        <v>237</v>
      </c>
      <c r="M5" s="9" t="s">
        <v>237</v>
      </c>
      <c r="N5" s="42" t="s">
        <v>257</v>
      </c>
      <c r="O5" s="42" t="s">
        <v>257</v>
      </c>
      <c r="P5" s="42" t="s">
        <v>257</v>
      </c>
      <c r="Q5" s="42" t="s">
        <v>257</v>
      </c>
      <c r="S5" s="8"/>
      <c r="T5" s="9"/>
      <c r="U5" s="9"/>
      <c r="V5" s="9" t="s">
        <v>187</v>
      </c>
      <c r="W5" s="9"/>
      <c r="X5" s="9" t="s">
        <v>187</v>
      </c>
      <c r="Y5" s="9" t="s">
        <v>187</v>
      </c>
      <c r="Z5" s="9" t="s">
        <v>199</v>
      </c>
      <c r="AA5" s="9" t="s">
        <v>187</v>
      </c>
      <c r="AB5" s="9" t="s">
        <v>237</v>
      </c>
      <c r="AC5" s="9" t="s">
        <v>237</v>
      </c>
      <c r="AD5" s="42" t="s">
        <v>257</v>
      </c>
      <c r="AE5" s="42" t="s">
        <v>257</v>
      </c>
      <c r="AF5" s="42" t="s">
        <v>257</v>
      </c>
      <c r="AG5" s="42" t="s">
        <v>257</v>
      </c>
    </row>
    <row r="6" spans="2:33" x14ac:dyDescent="0.25">
      <c r="B6" s="6">
        <f>DAYS360("31-12-2009",D6)</f>
        <v>32</v>
      </c>
      <c r="C6" s="10">
        <v>1</v>
      </c>
      <c r="D6" s="5">
        <v>40211</v>
      </c>
      <c r="E6" s="6" t="s">
        <v>326</v>
      </c>
      <c r="F6" s="34">
        <v>240</v>
      </c>
      <c r="G6" s="31"/>
      <c r="H6" s="31"/>
      <c r="I6" s="31"/>
      <c r="J6" s="31"/>
      <c r="K6" s="31"/>
      <c r="L6" s="6">
        <f>F6-$F$11</f>
        <v>-2814</v>
      </c>
      <c r="M6" s="6">
        <f>SQRT((L6*L6)/COUNT($B$6:$B$10))</f>
        <v>1258.4590577368817</v>
      </c>
      <c r="N6" s="31"/>
      <c r="O6" s="31"/>
      <c r="P6" s="31"/>
      <c r="Q6" s="31"/>
      <c r="S6" s="6">
        <f>DAYS360("31-12-2009",T6)</f>
        <v>32</v>
      </c>
      <c r="T6" s="5">
        <v>40211</v>
      </c>
      <c r="U6" s="6" t="s">
        <v>330</v>
      </c>
      <c r="V6" s="34">
        <v>240</v>
      </c>
      <c r="W6" s="31"/>
      <c r="X6" s="31"/>
      <c r="Y6" s="31"/>
      <c r="Z6" s="31"/>
      <c r="AA6" s="31"/>
      <c r="AB6" s="31"/>
      <c r="AC6" s="31"/>
      <c r="AD6" s="31"/>
      <c r="AE6" s="31"/>
      <c r="AF6" s="31"/>
      <c r="AG6" s="31"/>
    </row>
    <row r="7" spans="2:33" x14ac:dyDescent="0.25">
      <c r="B7" s="6">
        <f t="shared" ref="B7:B10" si="0">DAYS360("31-12-2009",D7)</f>
        <v>40</v>
      </c>
      <c r="C7" s="10">
        <v>1</v>
      </c>
      <c r="D7" s="5">
        <v>40219</v>
      </c>
      <c r="E7" s="6" t="s">
        <v>326</v>
      </c>
      <c r="F7" s="34">
        <v>120</v>
      </c>
      <c r="G7" s="31"/>
      <c r="H7" s="31"/>
      <c r="I7" s="31"/>
      <c r="J7" s="31"/>
      <c r="K7" s="31"/>
      <c r="L7" s="6">
        <f t="shared" ref="L7:L10" si="1">F7-$F$11</f>
        <v>-2934</v>
      </c>
      <c r="M7" s="6">
        <f t="shared" ref="M7:M10" si="2">SQRT((L7*L7)/COUNT($B$6:$B$10))</f>
        <v>1312.1246891968765</v>
      </c>
      <c r="N7" s="31"/>
      <c r="O7" s="31"/>
      <c r="P7" s="31"/>
      <c r="Q7" s="31"/>
      <c r="S7" s="6">
        <f>DAYS360("31-12-2009",T7)</f>
        <v>40</v>
      </c>
      <c r="T7" s="5">
        <v>40219</v>
      </c>
      <c r="U7" s="6" t="s">
        <v>330</v>
      </c>
      <c r="V7" s="34">
        <v>120</v>
      </c>
      <c r="W7" s="33">
        <f>COUNT(V6:V7)</f>
        <v>2</v>
      </c>
      <c r="X7" s="33">
        <f>SUM(V6:V7)</f>
        <v>360</v>
      </c>
      <c r="Y7" s="6">
        <f>(2592000-X7)/W7</f>
        <v>1295820</v>
      </c>
      <c r="Z7" s="6">
        <f>INT(Y7/60/24)</f>
        <v>899</v>
      </c>
      <c r="AA7" s="6">
        <f>X7/W7</f>
        <v>180</v>
      </c>
      <c r="AB7" s="6">
        <f>X7-V8</f>
        <v>180</v>
      </c>
      <c r="AC7" s="6">
        <f>SQRT((AB7*AB7)/COUNT(S6:S7))</f>
        <v>127.27922061357856</v>
      </c>
      <c r="AD7" s="6">
        <f>W7/(365*5)</f>
        <v>1.095890410958904E-3</v>
      </c>
      <c r="AE7" s="6">
        <f>AD7*EXP(-AD7*(365*5))</f>
        <v>1.4831263916341119E-4</v>
      </c>
      <c r="AF7" s="6">
        <f>1-EXP(-AD7*(365*5))</f>
        <v>0.8646647167633873</v>
      </c>
      <c r="AG7" s="6">
        <f>EXP(-AD7*(365*5))</f>
        <v>0.13533528323661273</v>
      </c>
    </row>
    <row r="8" spans="2:33" x14ac:dyDescent="0.25">
      <c r="B8" s="6">
        <f t="shared" si="0"/>
        <v>304</v>
      </c>
      <c r="C8" s="10">
        <v>1</v>
      </c>
      <c r="D8" s="5">
        <v>40486</v>
      </c>
      <c r="E8" s="6" t="s">
        <v>326</v>
      </c>
      <c r="F8" s="34">
        <v>480</v>
      </c>
      <c r="G8" s="31"/>
      <c r="H8" s="31"/>
      <c r="I8" s="31"/>
      <c r="J8" s="31"/>
      <c r="K8" s="31"/>
      <c r="L8" s="6">
        <f t="shared" si="1"/>
        <v>-2574</v>
      </c>
      <c r="M8" s="6">
        <f t="shared" si="2"/>
        <v>1151.1277948168918</v>
      </c>
      <c r="N8" s="31"/>
      <c r="O8" s="31"/>
      <c r="P8" s="31"/>
      <c r="Q8" s="31"/>
      <c r="S8" s="31"/>
      <c r="T8" s="31"/>
      <c r="U8" s="43" t="s">
        <v>235</v>
      </c>
      <c r="V8" s="6">
        <f>AVERAGE(V6:V7)</f>
        <v>180</v>
      </c>
      <c r="W8" s="31"/>
      <c r="X8" s="31"/>
      <c r="Y8" s="31"/>
      <c r="Z8" s="31"/>
      <c r="AA8" s="31"/>
      <c r="AB8" s="31"/>
      <c r="AC8" s="31"/>
      <c r="AD8" s="31"/>
      <c r="AE8" s="31"/>
      <c r="AF8" s="31"/>
      <c r="AG8" s="31"/>
    </row>
    <row r="9" spans="2:33" x14ac:dyDescent="0.25">
      <c r="B9" s="6">
        <f t="shared" si="0"/>
        <v>378</v>
      </c>
      <c r="C9" s="14">
        <v>1</v>
      </c>
      <c r="D9" s="5">
        <v>40561</v>
      </c>
      <c r="E9" s="6" t="s">
        <v>326</v>
      </c>
      <c r="F9" s="30">
        <f>10*24*60</f>
        <v>14400</v>
      </c>
      <c r="G9" s="31"/>
      <c r="H9" s="31"/>
      <c r="I9" s="31"/>
      <c r="J9" s="31"/>
      <c r="K9" s="31"/>
      <c r="L9" s="6">
        <f t="shared" si="1"/>
        <v>11346</v>
      </c>
      <c r="M9" s="6">
        <f t="shared" si="2"/>
        <v>5074.0854545425227</v>
      </c>
      <c r="N9" s="31"/>
      <c r="O9" s="31"/>
      <c r="P9" s="31"/>
      <c r="Q9" s="31"/>
      <c r="S9" s="6">
        <f>DAYS360("31-12-2009",T9)</f>
        <v>304</v>
      </c>
      <c r="T9" s="5">
        <v>40486</v>
      </c>
      <c r="U9" s="6" t="s">
        <v>331</v>
      </c>
      <c r="V9" s="34">
        <v>480</v>
      </c>
      <c r="W9" s="31"/>
      <c r="X9" s="31"/>
      <c r="Y9" s="31"/>
      <c r="Z9" s="31"/>
      <c r="AA9" s="31"/>
      <c r="AB9" s="31"/>
      <c r="AC9" s="31"/>
      <c r="AD9" s="31"/>
      <c r="AE9" s="31"/>
      <c r="AF9" s="31"/>
      <c r="AG9" s="31"/>
    </row>
    <row r="10" spans="2:33" x14ac:dyDescent="0.25">
      <c r="B10" s="6">
        <f t="shared" si="0"/>
        <v>412</v>
      </c>
      <c r="C10" s="14">
        <v>1</v>
      </c>
      <c r="D10" s="5">
        <v>40596</v>
      </c>
      <c r="E10" s="6" t="s">
        <v>326</v>
      </c>
      <c r="F10" s="33">
        <v>30</v>
      </c>
      <c r="G10" s="6">
        <v>1</v>
      </c>
      <c r="H10" s="6">
        <f>SUM(F6:F10)</f>
        <v>15270</v>
      </c>
      <c r="I10" s="6">
        <f>(2592000-H10)/G10</f>
        <v>2576730</v>
      </c>
      <c r="J10" s="6">
        <f>INT(I10/60/24)</f>
        <v>1789</v>
      </c>
      <c r="K10" s="6">
        <f>H10/G10</f>
        <v>15270</v>
      </c>
      <c r="L10" s="6">
        <f t="shared" si="1"/>
        <v>-3024</v>
      </c>
      <c r="M10" s="6">
        <f t="shared" si="2"/>
        <v>1352.3739127918727</v>
      </c>
      <c r="N10" s="6">
        <f>G10/(365*5)</f>
        <v>5.4794520547945202E-4</v>
      </c>
      <c r="O10" s="6">
        <f>N10*EXP(-N10*(365*5))</f>
        <v>2.0157777598435198E-4</v>
      </c>
      <c r="P10" s="6">
        <f>1-EXP(-N10*(365*5))</f>
        <v>0.63212055882855767</v>
      </c>
      <c r="Q10" s="6">
        <f>EXP(-N10*(365*5))</f>
        <v>0.36787944117144239</v>
      </c>
      <c r="S10" s="6">
        <f>DAYS360("31-12-2009",T10)</f>
        <v>412</v>
      </c>
      <c r="T10" s="5">
        <v>40596</v>
      </c>
      <c r="U10" s="6" t="s">
        <v>331</v>
      </c>
      <c r="V10" s="33">
        <v>30</v>
      </c>
      <c r="W10" s="6">
        <f>COUNT(V9:V10)</f>
        <v>2</v>
      </c>
      <c r="X10" s="6">
        <f>SUM(V9:V10)</f>
        <v>510</v>
      </c>
      <c r="Y10" s="6">
        <f>(2592000-X10)/W10</f>
        <v>1295745</v>
      </c>
      <c r="Z10" s="6">
        <f>INT(Y10/60/24)</f>
        <v>899</v>
      </c>
      <c r="AA10" s="6">
        <f>X10/W10</f>
        <v>255</v>
      </c>
      <c r="AB10" s="6">
        <f>X10-V11</f>
        <v>255</v>
      </c>
      <c r="AC10" s="33">
        <f>SQRT((AB10*AB10)/COUNT(S9:S10))</f>
        <v>180.31222920256963</v>
      </c>
      <c r="AD10" s="6">
        <f>W10/(365*5)</f>
        <v>1.095890410958904E-3</v>
      </c>
      <c r="AE10" s="6">
        <f>AD10*EXP(-AD10*(365*5))</f>
        <v>1.4831263916341119E-4</v>
      </c>
      <c r="AF10" s="6">
        <f>1-EXP(-AD10*(365*5))</f>
        <v>0.8646647167633873</v>
      </c>
      <c r="AG10" s="6">
        <f>EXP(-AD10*(365*5))</f>
        <v>0.13533528323661273</v>
      </c>
    </row>
    <row r="11" spans="2:33" x14ac:dyDescent="0.25">
      <c r="E11" s="43" t="s">
        <v>235</v>
      </c>
      <c r="F11" s="6">
        <f>AVERAGE(F6:F10)</f>
        <v>3054</v>
      </c>
      <c r="S11" s="31"/>
      <c r="T11" s="31"/>
      <c r="U11" s="43" t="s">
        <v>235</v>
      </c>
      <c r="V11" s="6">
        <f>AVERAGE(V9:V10)</f>
        <v>255</v>
      </c>
      <c r="W11" s="31"/>
      <c r="X11" s="31"/>
      <c r="Y11" s="31"/>
      <c r="Z11" s="31"/>
      <c r="AA11" s="31"/>
      <c r="AB11" s="31"/>
      <c r="AC11" s="31"/>
      <c r="AD11" s="31"/>
      <c r="AE11" s="31"/>
      <c r="AF11" s="31"/>
      <c r="AG11" s="31"/>
    </row>
    <row r="12" spans="2:33" x14ac:dyDescent="0.25">
      <c r="E12" s="61"/>
      <c r="F12" s="11"/>
      <c r="S12" s="6">
        <f>DAYS360("31-12-2009",T12)</f>
        <v>378</v>
      </c>
      <c r="T12" s="5">
        <v>40561</v>
      </c>
      <c r="U12" s="6" t="s">
        <v>332</v>
      </c>
      <c r="V12" s="30">
        <f>10*24*60</f>
        <v>14400</v>
      </c>
      <c r="W12" s="6">
        <f>COUNT(V12:V12)</f>
        <v>1</v>
      </c>
      <c r="X12" s="6">
        <f>SUM(V12:V12)</f>
        <v>14400</v>
      </c>
      <c r="Y12" s="6">
        <f>(2592000-X12)/W12</f>
        <v>2577600</v>
      </c>
      <c r="Z12" s="6">
        <f>INT(Y12/60/24)</f>
        <v>1790</v>
      </c>
      <c r="AA12" s="6">
        <f>X12/W12</f>
        <v>14400</v>
      </c>
      <c r="AB12" s="6">
        <f>X12-V13</f>
        <v>0</v>
      </c>
      <c r="AC12" s="33">
        <f>SQRT((AB12*AB12)/COUNT(S11:S12))</f>
        <v>0</v>
      </c>
      <c r="AD12" s="6">
        <f>W12/(365*5)</f>
        <v>5.4794520547945202E-4</v>
      </c>
      <c r="AE12" s="6">
        <f>AD12*EXP(-AD12*(365*5))</f>
        <v>2.0157777598435198E-4</v>
      </c>
      <c r="AF12" s="6">
        <f>1-EXP(-AD12*(365*5))</f>
        <v>0.63212055882855767</v>
      </c>
      <c r="AG12" s="6">
        <f>EXP(-AD12*(365*5))</f>
        <v>0.36787944117144239</v>
      </c>
    </row>
    <row r="13" spans="2:33" x14ac:dyDescent="0.25">
      <c r="B13" s="32" t="s">
        <v>193</v>
      </c>
      <c r="E13" s="61"/>
      <c r="F13" s="11"/>
      <c r="S13" s="62"/>
      <c r="T13" s="62"/>
      <c r="U13" s="63" t="s">
        <v>235</v>
      </c>
      <c r="V13" s="64">
        <f>AVERAGE(V12)</f>
        <v>14400</v>
      </c>
      <c r="W13" s="62"/>
      <c r="X13" s="62"/>
      <c r="Y13" s="62"/>
      <c r="Z13" s="62"/>
      <c r="AA13" s="62"/>
      <c r="AB13" s="62"/>
      <c r="AC13" s="62"/>
      <c r="AD13" s="62"/>
      <c r="AE13" s="62"/>
      <c r="AF13" s="62"/>
      <c r="AG13" s="62"/>
    </row>
    <row r="14" spans="2:33" x14ac:dyDescent="0.25">
      <c r="B14" t="s">
        <v>256</v>
      </c>
      <c r="S14" s="66"/>
      <c r="T14" s="66"/>
      <c r="U14" s="66"/>
      <c r="V14" s="66"/>
      <c r="W14" s="66"/>
      <c r="X14" s="66"/>
      <c r="Y14" s="66"/>
      <c r="Z14" s="66"/>
      <c r="AA14" s="66"/>
      <c r="AB14" s="66"/>
      <c r="AC14" s="66"/>
      <c r="AD14" s="66"/>
      <c r="AE14" s="66"/>
      <c r="AF14" s="66"/>
      <c r="AG14" s="66"/>
    </row>
    <row r="15" spans="2:33" x14ac:dyDescent="0.25">
      <c r="B15" t="s">
        <v>258</v>
      </c>
      <c r="S15" s="11"/>
      <c r="T15" s="11"/>
      <c r="U15" s="11"/>
      <c r="V15" s="11"/>
      <c r="W15" s="11"/>
      <c r="X15" s="11"/>
      <c r="Y15" s="11"/>
      <c r="Z15" s="11"/>
      <c r="AA15" s="11"/>
      <c r="AB15" s="11"/>
      <c r="AC15" s="11"/>
      <c r="AD15" s="11"/>
      <c r="AE15" s="11"/>
      <c r="AF15" s="11"/>
      <c r="AG15" s="11"/>
    </row>
    <row r="16" spans="2:33" x14ac:dyDescent="0.25">
      <c r="S16" s="60"/>
      <c r="T16" s="60"/>
      <c r="U16" s="61"/>
      <c r="V16" s="60"/>
      <c r="W16" s="60"/>
      <c r="X16" s="60"/>
      <c r="Y16" s="60"/>
      <c r="Z16" s="60"/>
      <c r="AA16" s="60"/>
      <c r="AB16" s="60"/>
      <c r="AC16" s="60"/>
      <c r="AD16" s="60"/>
      <c r="AE16" s="60"/>
      <c r="AF16" s="60"/>
      <c r="AG16" s="60"/>
    </row>
    <row r="17" spans="2:33" x14ac:dyDescent="0.25">
      <c r="B17" s="37" t="s">
        <v>209</v>
      </c>
      <c r="S17" s="60"/>
      <c r="T17" s="65"/>
      <c r="U17" s="60"/>
      <c r="V17" s="59"/>
      <c r="W17" s="60"/>
      <c r="X17" s="60"/>
      <c r="Y17" s="60"/>
      <c r="Z17" s="60"/>
      <c r="AA17" s="60"/>
      <c r="AB17" s="60"/>
      <c r="AC17" s="60"/>
      <c r="AD17" s="60"/>
      <c r="AE17" s="60"/>
      <c r="AF17" s="60"/>
      <c r="AG17" s="60"/>
    </row>
    <row r="18" spans="2:33" x14ac:dyDescent="0.25">
      <c r="B18" s="37" t="s">
        <v>210</v>
      </c>
    </row>
    <row r="19" spans="2:33" x14ac:dyDescent="0.25">
      <c r="B19" s="40" t="s">
        <v>222</v>
      </c>
    </row>
    <row r="20" spans="2:33" x14ac:dyDescent="0.25">
      <c r="B20" s="40" t="s">
        <v>232</v>
      </c>
    </row>
    <row r="21" spans="2:33" x14ac:dyDescent="0.25">
      <c r="B21" s="40"/>
    </row>
    <row r="22" spans="2:33" x14ac:dyDescent="0.25">
      <c r="B22" t="s">
        <v>234</v>
      </c>
    </row>
    <row r="24" spans="2:33" x14ac:dyDescent="0.25">
      <c r="B24" t="s">
        <v>225</v>
      </c>
    </row>
    <row r="25" spans="2:33" x14ac:dyDescent="0.25">
      <c r="C25" t="s">
        <v>226</v>
      </c>
    </row>
    <row r="26" spans="2:33" x14ac:dyDescent="0.25">
      <c r="C26" t="s">
        <v>227</v>
      </c>
    </row>
    <row r="27" spans="2:33" x14ac:dyDescent="0.25">
      <c r="C27" t="s">
        <v>228</v>
      </c>
    </row>
    <row r="29" spans="2:33" x14ac:dyDescent="0.25">
      <c r="B29" t="s">
        <v>229</v>
      </c>
    </row>
  </sheetData>
  <sheetProtection sheet="1" objects="1" scenarios="1"/>
  <mergeCells count="2">
    <mergeCell ref="B2:Q3"/>
    <mergeCell ref="S2:AG3"/>
  </mergeCells>
  <pageMargins left="0.7" right="0.7" top="0.75" bottom="0.75" header="0.3" footer="0.3"/>
  <drawing r:id="rId1"/>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B2:AY88"/>
  <sheetViews>
    <sheetView zoomScale="85" zoomScaleNormal="85" workbookViewId="0"/>
  </sheetViews>
  <sheetFormatPr defaultRowHeight="15" x14ac:dyDescent="0.25"/>
  <cols>
    <col min="1" max="1" width="3" customWidth="1"/>
    <col min="2" max="2" width="10.42578125" bestFit="1" customWidth="1"/>
    <col min="3" max="3" width="12" bestFit="1" customWidth="1"/>
    <col min="4" max="4" width="10.42578125" bestFit="1" customWidth="1"/>
    <col min="5" max="5" width="22.85546875" bestFit="1" customWidth="1"/>
    <col min="7" max="7" width="10.85546875" bestFit="1" customWidth="1"/>
    <col min="8" max="8" width="14.85546875" bestFit="1" customWidth="1"/>
    <col min="9" max="9" width="12" bestFit="1" customWidth="1"/>
    <col min="10" max="10" width="11.28515625" bestFit="1" customWidth="1"/>
    <col min="11" max="11" width="11.28515625" customWidth="1"/>
    <col min="12" max="12" width="12.28515625" bestFit="1" customWidth="1"/>
    <col min="13" max="13" width="13.7109375" bestFit="1" customWidth="1"/>
    <col min="14" max="15" width="12" bestFit="1" customWidth="1"/>
    <col min="16" max="16" width="12" customWidth="1"/>
    <col min="17" max="17" width="14" bestFit="1" customWidth="1"/>
    <col min="18" max="18" width="12.28515625" bestFit="1" customWidth="1"/>
    <col min="20" max="21" width="10.42578125" bestFit="1" customWidth="1"/>
    <col min="22" max="22" width="22.28515625" bestFit="1" customWidth="1"/>
    <col min="24" max="24" width="10.85546875" bestFit="1" customWidth="1"/>
    <col min="25" max="25" width="14.85546875" bestFit="1" customWidth="1"/>
    <col min="26" max="26" width="11.42578125" bestFit="1" customWidth="1"/>
    <col min="27" max="28" width="11.42578125" customWidth="1"/>
    <col min="29" max="29" width="13.7109375" bestFit="1" customWidth="1"/>
    <col min="30" max="31" width="12" bestFit="1" customWidth="1"/>
    <col min="32" max="32" width="12" customWidth="1"/>
    <col min="33" max="33" width="14" customWidth="1"/>
    <col min="34" max="34" width="12.28515625" customWidth="1"/>
    <col min="35" max="36" width="9.140625" customWidth="1"/>
    <col min="37" max="51" width="12.28515625" customWidth="1"/>
  </cols>
  <sheetData>
    <row r="2" spans="2:51" ht="15" customHeight="1" x14ac:dyDescent="0.25">
      <c r="B2" s="124" t="s">
        <v>335</v>
      </c>
      <c r="C2" s="125"/>
      <c r="D2" s="125"/>
      <c r="E2" s="125"/>
      <c r="F2" s="125"/>
      <c r="G2" s="125"/>
      <c r="H2" s="125"/>
      <c r="I2" s="125"/>
      <c r="J2" s="125"/>
      <c r="K2" s="125"/>
      <c r="L2" s="125"/>
      <c r="M2" s="125"/>
      <c r="N2" s="125"/>
      <c r="O2" s="125"/>
      <c r="P2" s="125"/>
      <c r="Q2" s="125"/>
      <c r="R2" s="126"/>
      <c r="T2" s="123" t="s">
        <v>336</v>
      </c>
      <c r="U2" s="123"/>
      <c r="V2" s="123"/>
      <c r="W2" s="123"/>
      <c r="X2" s="123"/>
      <c r="Y2" s="123"/>
      <c r="Z2" s="123"/>
      <c r="AA2" s="123"/>
      <c r="AB2" s="123"/>
      <c r="AC2" s="123"/>
      <c r="AD2" s="123"/>
      <c r="AE2" s="123"/>
      <c r="AF2" s="123"/>
      <c r="AG2" s="123"/>
      <c r="AH2" s="123"/>
      <c r="AI2" s="123"/>
      <c r="AJ2" t="s">
        <v>271</v>
      </c>
    </row>
    <row r="3" spans="2:51" ht="15" customHeight="1" x14ac:dyDescent="0.25">
      <c r="B3" s="127"/>
      <c r="C3" s="128"/>
      <c r="D3" s="128"/>
      <c r="E3" s="128"/>
      <c r="F3" s="128"/>
      <c r="G3" s="128"/>
      <c r="H3" s="128"/>
      <c r="I3" s="128"/>
      <c r="J3" s="128"/>
      <c r="K3" s="128"/>
      <c r="L3" s="128"/>
      <c r="M3" s="128"/>
      <c r="N3" s="128"/>
      <c r="O3" s="128"/>
      <c r="P3" s="128"/>
      <c r="Q3" s="128"/>
      <c r="R3" s="129"/>
      <c r="T3" s="123"/>
      <c r="U3" s="123"/>
      <c r="V3" s="123"/>
      <c r="W3" s="123"/>
      <c r="X3" s="123"/>
      <c r="Y3" s="123"/>
      <c r="Z3" s="123"/>
      <c r="AA3" s="123"/>
      <c r="AB3" s="123"/>
      <c r="AC3" s="123"/>
      <c r="AD3" s="123"/>
      <c r="AE3" s="123"/>
      <c r="AF3" s="123"/>
      <c r="AG3" s="123"/>
      <c r="AH3" s="123"/>
      <c r="AI3" s="123"/>
      <c r="AK3" s="123" t="s">
        <v>353</v>
      </c>
      <c r="AL3" s="123"/>
      <c r="AM3" s="123"/>
      <c r="AN3" s="123"/>
      <c r="AO3" s="123"/>
      <c r="AP3" s="123"/>
      <c r="AQ3" s="123" t="s">
        <v>359</v>
      </c>
      <c r="AR3" s="123"/>
      <c r="AS3" s="123"/>
      <c r="AT3" s="124" t="s">
        <v>277</v>
      </c>
      <c r="AU3" s="125"/>
      <c r="AV3" s="125"/>
      <c r="AW3" s="125"/>
      <c r="AX3" s="123" t="s">
        <v>369</v>
      </c>
      <c r="AY3" s="123"/>
    </row>
    <row r="4" spans="2:51" x14ac:dyDescent="0.25">
      <c r="B4" s="7" t="s">
        <v>165</v>
      </c>
      <c r="C4" s="7" t="s">
        <v>168</v>
      </c>
      <c r="D4" s="7" t="s">
        <v>5</v>
      </c>
      <c r="E4" s="7" t="s">
        <v>2</v>
      </c>
      <c r="F4" s="7" t="s">
        <v>185</v>
      </c>
      <c r="G4" s="7" t="s">
        <v>191</v>
      </c>
      <c r="H4" s="7" t="s">
        <v>192</v>
      </c>
      <c r="I4" s="7" t="s">
        <v>194</v>
      </c>
      <c r="J4" s="7" t="s">
        <v>194</v>
      </c>
      <c r="K4" s="7" t="s">
        <v>223</v>
      </c>
      <c r="L4" s="7" t="s">
        <v>238</v>
      </c>
      <c r="M4" s="7" t="s">
        <v>236</v>
      </c>
      <c r="N4" s="41" t="s">
        <v>208</v>
      </c>
      <c r="O4" s="41" t="s">
        <v>230</v>
      </c>
      <c r="P4" s="41" t="s">
        <v>231</v>
      </c>
      <c r="Q4" s="41" t="s">
        <v>211</v>
      </c>
      <c r="R4" s="41" t="s">
        <v>260</v>
      </c>
      <c r="T4" s="7" t="s">
        <v>165</v>
      </c>
      <c r="U4" s="7" t="s">
        <v>5</v>
      </c>
      <c r="V4" s="7" t="s">
        <v>197</v>
      </c>
      <c r="W4" s="7" t="s">
        <v>185</v>
      </c>
      <c r="X4" s="7" t="s">
        <v>191</v>
      </c>
      <c r="Y4" s="7" t="s">
        <v>192</v>
      </c>
      <c r="Z4" s="7" t="s">
        <v>198</v>
      </c>
      <c r="AA4" s="7" t="s">
        <v>198</v>
      </c>
      <c r="AB4" s="7" t="s">
        <v>224</v>
      </c>
      <c r="AC4" s="7" t="s">
        <v>238</v>
      </c>
      <c r="AD4" s="7" t="s">
        <v>236</v>
      </c>
      <c r="AE4" s="41" t="s">
        <v>208</v>
      </c>
      <c r="AF4" s="41" t="s">
        <v>230</v>
      </c>
      <c r="AG4" s="41" t="s">
        <v>231</v>
      </c>
      <c r="AH4" s="41" t="s">
        <v>211</v>
      </c>
      <c r="AI4" s="41" t="s">
        <v>260</v>
      </c>
      <c r="AJ4" s="75" t="s">
        <v>264</v>
      </c>
      <c r="AK4" s="76" t="s">
        <v>265</v>
      </c>
      <c r="AL4" s="76" t="s">
        <v>265</v>
      </c>
      <c r="AM4" s="76" t="s">
        <v>265</v>
      </c>
      <c r="AN4" s="76" t="s">
        <v>265</v>
      </c>
      <c r="AO4" s="76" t="s">
        <v>265</v>
      </c>
      <c r="AP4" s="76" t="s">
        <v>265</v>
      </c>
      <c r="AQ4" s="76" t="s">
        <v>265</v>
      </c>
      <c r="AR4" s="76" t="s">
        <v>265</v>
      </c>
      <c r="AS4" s="76" t="s">
        <v>265</v>
      </c>
      <c r="AT4" s="76" t="s">
        <v>265</v>
      </c>
      <c r="AU4" s="76" t="s">
        <v>265</v>
      </c>
      <c r="AV4" s="76" t="s">
        <v>265</v>
      </c>
      <c r="AW4" s="76" t="s">
        <v>265</v>
      </c>
      <c r="AX4" s="76" t="s">
        <v>265</v>
      </c>
      <c r="AY4" s="76" t="s">
        <v>265</v>
      </c>
    </row>
    <row r="5" spans="2:51" x14ac:dyDescent="0.25">
      <c r="B5" s="8"/>
      <c r="C5" s="8"/>
      <c r="D5" s="9"/>
      <c r="E5" s="9"/>
      <c r="F5" s="9" t="s">
        <v>187</v>
      </c>
      <c r="G5" s="9"/>
      <c r="H5" s="9" t="s">
        <v>187</v>
      </c>
      <c r="I5" s="9" t="s">
        <v>187</v>
      </c>
      <c r="J5" s="9" t="s">
        <v>199</v>
      </c>
      <c r="K5" s="9" t="s">
        <v>187</v>
      </c>
      <c r="L5" s="9" t="s">
        <v>237</v>
      </c>
      <c r="M5" s="9" t="s">
        <v>237</v>
      </c>
      <c r="N5" s="42" t="s">
        <v>257</v>
      </c>
      <c r="O5" s="42" t="s">
        <v>257</v>
      </c>
      <c r="P5" s="42" t="s">
        <v>257</v>
      </c>
      <c r="Q5" s="42" t="s">
        <v>257</v>
      </c>
      <c r="R5" s="42" t="s">
        <v>263</v>
      </c>
      <c r="T5" s="8"/>
      <c r="U5" s="9"/>
      <c r="V5" s="9"/>
      <c r="W5" s="9" t="s">
        <v>187</v>
      </c>
      <c r="X5" s="9"/>
      <c r="Y5" s="9" t="s">
        <v>187</v>
      </c>
      <c r="Z5" s="9" t="s">
        <v>187</v>
      </c>
      <c r="AA5" s="9" t="s">
        <v>199</v>
      </c>
      <c r="AB5" s="9" t="s">
        <v>187</v>
      </c>
      <c r="AC5" s="9" t="s">
        <v>237</v>
      </c>
      <c r="AD5" s="9" t="s">
        <v>237</v>
      </c>
      <c r="AE5" s="42" t="s">
        <v>257</v>
      </c>
      <c r="AF5" s="42" t="s">
        <v>257</v>
      </c>
      <c r="AG5" s="42" t="s">
        <v>257</v>
      </c>
      <c r="AH5" s="42" t="s">
        <v>257</v>
      </c>
      <c r="AI5" s="42" t="s">
        <v>263</v>
      </c>
      <c r="AJ5" s="42" t="s">
        <v>269</v>
      </c>
      <c r="AK5" s="42" t="s">
        <v>270</v>
      </c>
      <c r="AL5" s="42" t="s">
        <v>272</v>
      </c>
      <c r="AM5" s="42" t="s">
        <v>273</v>
      </c>
      <c r="AN5" s="42" t="s">
        <v>274</v>
      </c>
      <c r="AO5" s="42" t="s">
        <v>275</v>
      </c>
      <c r="AP5" s="42" t="s">
        <v>276</v>
      </c>
      <c r="AQ5" s="42" t="s">
        <v>272</v>
      </c>
      <c r="AR5" s="42" t="s">
        <v>273</v>
      </c>
      <c r="AS5" s="42" t="s">
        <v>276</v>
      </c>
      <c r="AT5" s="42" t="s">
        <v>270</v>
      </c>
      <c r="AU5" s="42" t="s">
        <v>273</v>
      </c>
      <c r="AV5" s="42" t="s">
        <v>274</v>
      </c>
      <c r="AW5" s="42" t="s">
        <v>275</v>
      </c>
      <c r="AX5" s="42" t="s">
        <v>275</v>
      </c>
      <c r="AY5" s="42" t="s">
        <v>276</v>
      </c>
    </row>
    <row r="6" spans="2:51" x14ac:dyDescent="0.25">
      <c r="B6" s="6">
        <f>DAYS360("31-12-2009",D6)</f>
        <v>21</v>
      </c>
      <c r="C6" s="10">
        <v>1</v>
      </c>
      <c r="D6" s="5">
        <v>40199</v>
      </c>
      <c r="E6" s="6" t="s">
        <v>333</v>
      </c>
      <c r="F6" s="34">
        <v>240</v>
      </c>
      <c r="G6" s="31"/>
      <c r="H6" s="31"/>
      <c r="I6" s="31"/>
      <c r="J6" s="31"/>
      <c r="K6" s="31"/>
      <c r="L6" s="6">
        <f>F6-$F$48</f>
        <v>-167.5</v>
      </c>
      <c r="M6" s="6">
        <f>SQRT((L6*L6)/COUNT($B$6:$B$47))</f>
        <v>25.845811118650396</v>
      </c>
      <c r="N6" s="31"/>
      <c r="O6" s="31"/>
      <c r="P6" s="31"/>
      <c r="Q6" s="31"/>
      <c r="R6" s="31"/>
      <c r="T6" s="6">
        <f>DAYS360("31-12-2009",U6)</f>
        <v>21</v>
      </c>
      <c r="U6" s="5">
        <v>40199</v>
      </c>
      <c r="V6" s="6" t="s">
        <v>338</v>
      </c>
      <c r="W6" s="34">
        <v>240</v>
      </c>
      <c r="X6" s="31"/>
      <c r="Y6" s="31"/>
      <c r="Z6" s="31"/>
      <c r="AA6" s="31"/>
      <c r="AB6" s="31"/>
      <c r="AC6" s="31"/>
      <c r="AD6" s="31"/>
      <c r="AE6" s="31"/>
      <c r="AF6" s="31"/>
      <c r="AG6" s="31"/>
      <c r="AH6" s="31"/>
      <c r="AI6" s="31"/>
      <c r="AJ6">
        <v>1</v>
      </c>
      <c r="AK6" s="6">
        <f>EXP(-$AE$9*(AJ6))</f>
        <v>0.9888269325324206</v>
      </c>
      <c r="AL6" s="6">
        <f>EXP(-$AE$18*(AJ6))</f>
        <v>0.97752904625299208</v>
      </c>
      <c r="AM6" s="6">
        <f>EXP(-$AE$29*(AJ6))</f>
        <v>0.9718328750329811</v>
      </c>
      <c r="AN6" s="6">
        <f>EXP(-$AE$31*(AJ6))</f>
        <v>0.99721836062779279</v>
      </c>
      <c r="AO6" s="6">
        <f>EXP(-$AE$35*(AJ6))</f>
        <v>0.99163184820119987</v>
      </c>
      <c r="AP6" s="6">
        <f>EXP(-$AE$40*(AJ6))</f>
        <v>0.9888269325324206</v>
      </c>
      <c r="AQ6" s="6">
        <f>EXP(-$AE$42*(AJ6))</f>
        <v>0.99721836062779279</v>
      </c>
      <c r="AR6" s="6">
        <f>EXP(-$AE$46*(AJ6))</f>
        <v>0.99163184820119987</v>
      </c>
      <c r="AS6" s="6">
        <f>EXP(-$AE$48*(AJ6))</f>
        <v>0.99721836062779279</v>
      </c>
      <c r="AT6" s="6">
        <f>EXP(-$AE$51*(AJ6))</f>
        <v>0.99442898380825406</v>
      </c>
      <c r="AU6" s="6">
        <f>EXP(-$AE$55*(AJ6))</f>
        <v>0.99163184820119987</v>
      </c>
      <c r="AV6" s="6">
        <f>EXP(-$AE$57*(AJ6))</f>
        <v>0.99721836062779279</v>
      </c>
      <c r="AW6" s="6">
        <f>EXP(-$AE$59*(AJ6))</f>
        <v>0.99721836062779279</v>
      </c>
      <c r="AX6" s="6">
        <f>EXP(-$AE$61*(AJ6))</f>
        <v>0.99717114757514036</v>
      </c>
      <c r="AY6" s="6">
        <f>EXP(-$AE$63*(AJ6))</f>
        <v>0.99721836062779279</v>
      </c>
    </row>
    <row r="7" spans="2:51" x14ac:dyDescent="0.25">
      <c r="B7" s="6">
        <f t="shared" ref="B7:B47" si="0">DAYS360("31-12-2009",D7)</f>
        <v>98</v>
      </c>
      <c r="C7" s="10">
        <v>1</v>
      </c>
      <c r="D7" s="5">
        <v>40276</v>
      </c>
      <c r="E7" s="6" t="s">
        <v>333</v>
      </c>
      <c r="F7" s="34">
        <v>300</v>
      </c>
      <c r="G7" s="31"/>
      <c r="H7" s="31"/>
      <c r="I7" s="31"/>
      <c r="J7" s="31"/>
      <c r="K7" s="31"/>
      <c r="L7" s="6">
        <f t="shared" ref="L7:L47" si="1">F7-$F$48</f>
        <v>-107.5</v>
      </c>
      <c r="M7" s="6">
        <f t="shared" ref="M7:M47" si="2">SQRT((L7*L7)/COUNT($B$6:$B$47))</f>
        <v>16.587610120924879</v>
      </c>
      <c r="N7" s="31"/>
      <c r="O7" s="31"/>
      <c r="P7" s="31"/>
      <c r="Q7" s="31"/>
      <c r="R7" s="31"/>
      <c r="T7" s="6">
        <f t="shared" ref="T7:T9" si="3">DAYS360("31-12-2009",U7)</f>
        <v>122</v>
      </c>
      <c r="U7" s="5">
        <v>40300</v>
      </c>
      <c r="V7" s="6" t="s">
        <v>338</v>
      </c>
      <c r="W7" s="34">
        <v>120</v>
      </c>
      <c r="X7" s="31"/>
      <c r="Y7" s="31"/>
      <c r="Z7" s="31"/>
      <c r="AA7" s="31"/>
      <c r="AB7" s="31"/>
      <c r="AC7" s="31"/>
      <c r="AD7" s="31"/>
      <c r="AE7" s="31"/>
      <c r="AF7" s="31"/>
      <c r="AG7" s="31"/>
      <c r="AH7" s="31"/>
      <c r="AI7" s="31"/>
      <c r="AJ7">
        <f>AJ6+5</f>
        <v>6</v>
      </c>
      <c r="AK7" s="6">
        <f t="shared" ref="AK7:AK70" si="4">EXP(-$AE$9*(AJ7))</f>
        <v>0.93480649312498687</v>
      </c>
      <c r="AL7" s="6">
        <f t="shared" ref="AL7:AL70" si="5">EXP(-$AE$18*(AJ7))</f>
        <v>0.87252529286942382</v>
      </c>
      <c r="AM7" s="6">
        <f t="shared" ref="AM7:AM70" si="6">EXP(-$AE$29*(AJ7))</f>
        <v>0.84246044161677136</v>
      </c>
      <c r="AN7" s="6">
        <f t="shared" ref="AN7:AN70" si="7">EXP(-$AE$31*(AJ7))</f>
        <v>0.98342579696807908</v>
      </c>
      <c r="AO7" s="6">
        <f t="shared" ref="AO7:AO70" si="8">EXP(-$AE$35*(AJ7))</f>
        <v>0.95082983222576778</v>
      </c>
      <c r="AP7" s="6">
        <f t="shared" ref="AP7:AP70" si="9">EXP(-$AE$40*(AJ7))</f>
        <v>0.93480649312498687</v>
      </c>
      <c r="AQ7" s="6">
        <f t="shared" ref="AQ7:AQ70" si="10">EXP(-$AE$42*(AJ7))</f>
        <v>0.98342579696807908</v>
      </c>
      <c r="AR7" s="6">
        <f t="shared" ref="AR7:AR70" si="11">EXP(-$AE$46*(AJ7))</f>
        <v>0.95082983222576778</v>
      </c>
      <c r="AS7" s="6">
        <f t="shared" ref="AS7:AS70" si="12">EXP(-$AE$48*(AJ7))</f>
        <v>0.98342579696807908</v>
      </c>
      <c r="AT7" s="6">
        <f t="shared" ref="AT7:AT70" si="13">EXP(-$AE$51*(AJ7))</f>
        <v>0.96703600252135291</v>
      </c>
      <c r="AU7" s="6">
        <f t="shared" ref="AU7:AU70" si="14">EXP(-$AE$55*(AJ7))</f>
        <v>0.95082983222576778</v>
      </c>
      <c r="AV7" s="6">
        <f t="shared" ref="AV7:AV70" si="15">EXP(-$AE$57*(AJ7))</f>
        <v>0.98342579696807908</v>
      </c>
      <c r="AW7" s="6">
        <f t="shared" ref="AW7:AW70" si="16">EXP(-$AE$59*(AJ7))</f>
        <v>0.98342579696807908</v>
      </c>
      <c r="AX7" s="6">
        <f t="shared" ref="AX7:AX70" si="17">EXP(-$AE$61*(AJ7))</f>
        <v>0.98314646974844278</v>
      </c>
      <c r="AY7" s="6">
        <f t="shared" ref="AY7:AY70" si="18">EXP(-$AE$63*(AJ7))</f>
        <v>0.98342579696807908</v>
      </c>
    </row>
    <row r="8" spans="2:51" x14ac:dyDescent="0.25">
      <c r="B8" s="6">
        <f t="shared" si="0"/>
        <v>122</v>
      </c>
      <c r="C8" s="10">
        <v>1</v>
      </c>
      <c r="D8" s="5">
        <v>40300</v>
      </c>
      <c r="E8" s="6" t="s">
        <v>333</v>
      </c>
      <c r="F8" s="34">
        <v>120</v>
      </c>
      <c r="G8" s="31"/>
      <c r="H8" s="31"/>
      <c r="I8" s="31"/>
      <c r="J8" s="31"/>
      <c r="K8" s="31"/>
      <c r="L8" s="6">
        <f t="shared" si="1"/>
        <v>-287.5</v>
      </c>
      <c r="M8" s="6">
        <f t="shared" si="2"/>
        <v>44.362213114101422</v>
      </c>
      <c r="N8" s="31"/>
      <c r="O8" s="31"/>
      <c r="P8" s="31"/>
      <c r="Q8" s="31"/>
      <c r="R8" s="31"/>
      <c r="T8" s="6">
        <f t="shared" si="3"/>
        <v>260</v>
      </c>
      <c r="U8" s="5">
        <v>40441</v>
      </c>
      <c r="V8" s="6" t="s">
        <v>338</v>
      </c>
      <c r="W8" s="34">
        <v>180</v>
      </c>
      <c r="X8" s="31"/>
      <c r="Y8" s="31"/>
      <c r="Z8" s="31"/>
      <c r="AA8" s="31"/>
      <c r="AB8" s="31"/>
      <c r="AC8" s="31"/>
      <c r="AD8" s="31"/>
      <c r="AE8" s="31"/>
      <c r="AF8" s="31"/>
      <c r="AG8" s="31"/>
      <c r="AH8" s="31"/>
      <c r="AI8" s="31"/>
      <c r="AJ8">
        <f t="shared" ref="AJ8:AJ71" si="19">AJ7+5</f>
        <v>11</v>
      </c>
      <c r="AK8" s="6">
        <f t="shared" si="4"/>
        <v>0.88373723534273252</v>
      </c>
      <c r="AL8" s="6">
        <f t="shared" si="5"/>
        <v>0.77880078307140488</v>
      </c>
      <c r="AM8" s="6">
        <f t="shared" si="6"/>
        <v>0.73031033825135727</v>
      </c>
      <c r="AN8" s="6">
        <f t="shared" si="7"/>
        <v>0.96982399876136749</v>
      </c>
      <c r="AO8" s="6">
        <f t="shared" si="8"/>
        <v>0.91170666965815983</v>
      </c>
      <c r="AP8" s="6">
        <f t="shared" si="9"/>
        <v>0.88373723534273252</v>
      </c>
      <c r="AQ8" s="6">
        <f t="shared" si="10"/>
        <v>0.96982399876136749</v>
      </c>
      <c r="AR8" s="6">
        <f t="shared" si="11"/>
        <v>0.91170666965815983</v>
      </c>
      <c r="AS8" s="6">
        <f t="shared" si="12"/>
        <v>0.96982399876136749</v>
      </c>
      <c r="AT8" s="6">
        <f t="shared" si="13"/>
        <v>0.94039760043115894</v>
      </c>
      <c r="AU8" s="6">
        <f t="shared" si="14"/>
        <v>0.91170666965815983</v>
      </c>
      <c r="AV8" s="6">
        <f t="shared" si="15"/>
        <v>0.96982399876136749</v>
      </c>
      <c r="AW8" s="6">
        <f t="shared" si="16"/>
        <v>0.96982399876136749</v>
      </c>
      <c r="AX8" s="6">
        <f t="shared" si="17"/>
        <v>0.96931904149983517</v>
      </c>
      <c r="AY8" s="6">
        <f t="shared" si="18"/>
        <v>0.96982399876136749</v>
      </c>
    </row>
    <row r="9" spans="2:51" x14ac:dyDescent="0.25">
      <c r="B9" s="6">
        <f t="shared" si="0"/>
        <v>210</v>
      </c>
      <c r="C9" s="10">
        <v>1</v>
      </c>
      <c r="D9" s="5">
        <v>40389</v>
      </c>
      <c r="E9" s="6" t="s">
        <v>333</v>
      </c>
      <c r="F9" s="34">
        <v>120</v>
      </c>
      <c r="G9" s="31"/>
      <c r="H9" s="31"/>
      <c r="I9" s="31"/>
      <c r="J9" s="31"/>
      <c r="K9" s="31"/>
      <c r="L9" s="6">
        <f t="shared" si="1"/>
        <v>-287.5</v>
      </c>
      <c r="M9" s="6">
        <f t="shared" si="2"/>
        <v>44.362213114101422</v>
      </c>
      <c r="N9" s="31"/>
      <c r="O9" s="31"/>
      <c r="P9" s="31"/>
      <c r="Q9" s="31"/>
      <c r="R9" s="31"/>
      <c r="T9" s="6">
        <f t="shared" si="3"/>
        <v>267</v>
      </c>
      <c r="U9" s="5">
        <v>40448</v>
      </c>
      <c r="V9" s="6" t="s">
        <v>338</v>
      </c>
      <c r="W9" s="34">
        <v>120</v>
      </c>
      <c r="X9" s="6">
        <f>COUNT(W6:W9)</f>
        <v>4</v>
      </c>
      <c r="Y9" s="6">
        <f>SUM(W6:W9)</f>
        <v>660</v>
      </c>
      <c r="Z9" s="6">
        <f>($F$51-Y9)/X9</f>
        <v>129435</v>
      </c>
      <c r="AA9" s="6">
        <f>INT(Z9/60/24)</f>
        <v>89</v>
      </c>
      <c r="AB9" s="6">
        <f>Y9/X9</f>
        <v>165</v>
      </c>
      <c r="AC9" s="6">
        <f>Y9-W10</f>
        <v>495</v>
      </c>
      <c r="AD9" s="33">
        <f>SQRT((AC9*AC9)/COUNT(W6:W9))</f>
        <v>247.5</v>
      </c>
      <c r="AE9" s="6">
        <f>1/AA9</f>
        <v>1.1235955056179775E-2</v>
      </c>
      <c r="AF9" s="6">
        <f>AE9*EXP(-AE9*(365*1))</f>
        <v>1.8600072893790504E-4</v>
      </c>
      <c r="AG9" s="6">
        <f>1-EXP(-AE9*(365*1))</f>
        <v>0.98344593512452649</v>
      </c>
      <c r="AH9" s="6">
        <f>EXP(-AE9*(365*1))</f>
        <v>1.6554064875473548E-2</v>
      </c>
      <c r="AI9" s="6">
        <f>$F$51/(Y9+$F$51)*100</f>
        <v>99.872847069702914</v>
      </c>
      <c r="AJ9">
        <f t="shared" si="19"/>
        <v>16</v>
      </c>
      <c r="AK9" s="6">
        <f t="shared" si="4"/>
        <v>0.83545793367397481</v>
      </c>
      <c r="AL9" s="6">
        <f t="shared" si="5"/>
        <v>0.69514392839887873</v>
      </c>
      <c r="AM9" s="6">
        <f t="shared" si="6"/>
        <v>0.63308989218918132</v>
      </c>
      <c r="AN9" s="6">
        <f t="shared" si="7"/>
        <v>0.95641032752369259</v>
      </c>
      <c r="AO9" s="6">
        <f t="shared" si="8"/>
        <v>0.87419328183406031</v>
      </c>
      <c r="AP9" s="6">
        <f t="shared" si="9"/>
        <v>0.83545793367397481</v>
      </c>
      <c r="AQ9" s="6">
        <f t="shared" si="10"/>
        <v>0.95641032752369259</v>
      </c>
      <c r="AR9" s="6">
        <f t="shared" si="11"/>
        <v>0.87419328183406031</v>
      </c>
      <c r="AS9" s="6">
        <f t="shared" si="12"/>
        <v>0.95641032752369259</v>
      </c>
      <c r="AT9" s="6">
        <f t="shared" si="13"/>
        <v>0.91449299156486641</v>
      </c>
      <c r="AU9" s="6">
        <f t="shared" si="14"/>
        <v>0.87419328183406031</v>
      </c>
      <c r="AV9" s="6">
        <f t="shared" si="15"/>
        <v>0.95641032752369259</v>
      </c>
      <c r="AW9" s="6">
        <f t="shared" si="16"/>
        <v>0.95641032752369259</v>
      </c>
      <c r="AX9" s="6">
        <f t="shared" si="17"/>
        <v>0.95568608861970372</v>
      </c>
      <c r="AY9" s="6">
        <f t="shared" si="18"/>
        <v>0.95641032752369259</v>
      </c>
    </row>
    <row r="10" spans="2:51" x14ac:dyDescent="0.25">
      <c r="B10" s="6">
        <f t="shared" si="0"/>
        <v>260</v>
      </c>
      <c r="C10" s="10">
        <v>1</v>
      </c>
      <c r="D10" s="5">
        <v>40441</v>
      </c>
      <c r="E10" s="6" t="s">
        <v>333</v>
      </c>
      <c r="F10" s="34">
        <v>180</v>
      </c>
      <c r="G10" s="31"/>
      <c r="H10" s="31"/>
      <c r="I10" s="31"/>
      <c r="J10" s="31"/>
      <c r="K10" s="31"/>
      <c r="L10" s="6">
        <f t="shared" si="1"/>
        <v>-227.5</v>
      </c>
      <c r="M10" s="6">
        <f t="shared" si="2"/>
        <v>35.104012116375912</v>
      </c>
      <c r="N10" s="31"/>
      <c r="O10" s="31"/>
      <c r="P10" s="31"/>
      <c r="Q10" s="31"/>
      <c r="R10" s="31"/>
      <c r="T10" s="31"/>
      <c r="U10" s="31"/>
      <c r="V10" s="43" t="s">
        <v>235</v>
      </c>
      <c r="W10" s="6">
        <f>AVERAGE(W6:W9)</f>
        <v>165</v>
      </c>
      <c r="X10" s="31"/>
      <c r="Y10" s="31"/>
      <c r="Z10" s="31"/>
      <c r="AA10" s="31"/>
      <c r="AB10" s="31"/>
      <c r="AC10" s="31"/>
      <c r="AD10" s="31"/>
      <c r="AE10" s="31"/>
      <c r="AF10" s="31"/>
      <c r="AG10" s="31"/>
      <c r="AH10" s="31"/>
      <c r="AI10" s="31"/>
      <c r="AJ10">
        <f t="shared" si="19"/>
        <v>21</v>
      </c>
      <c r="AK10" s="6">
        <f t="shared" si="4"/>
        <v>0.78981617049109842</v>
      </c>
      <c r="AL10" s="6">
        <f t="shared" si="5"/>
        <v>0.62047328622873332</v>
      </c>
      <c r="AM10" s="6">
        <f t="shared" si="6"/>
        <v>0.54881163609402639</v>
      </c>
      <c r="AN10" s="6">
        <f t="shared" si="7"/>
        <v>0.94318218126405728</v>
      </c>
      <c r="AO10" s="6">
        <f t="shared" si="8"/>
        <v>0.8382234324229999</v>
      </c>
      <c r="AP10" s="6">
        <f t="shared" si="9"/>
        <v>0.78981617049109842</v>
      </c>
      <c r="AQ10" s="6">
        <f t="shared" si="10"/>
        <v>0.94318218126405728</v>
      </c>
      <c r="AR10" s="6">
        <f t="shared" si="11"/>
        <v>0.8382234324229999</v>
      </c>
      <c r="AS10" s="6">
        <f t="shared" si="12"/>
        <v>0.94318218126405728</v>
      </c>
      <c r="AT10" s="6">
        <f t="shared" si="13"/>
        <v>0.88930196252928373</v>
      </c>
      <c r="AU10" s="6">
        <f t="shared" si="14"/>
        <v>0.8382234324229999</v>
      </c>
      <c r="AV10" s="6">
        <f t="shared" si="15"/>
        <v>0.94318218126405728</v>
      </c>
      <c r="AW10" s="6">
        <f t="shared" si="16"/>
        <v>0.94318218126405728</v>
      </c>
      <c r="AX10" s="6">
        <f t="shared" si="17"/>
        <v>0.94224487591620631</v>
      </c>
      <c r="AY10" s="6">
        <f t="shared" si="18"/>
        <v>0.94318218126405728</v>
      </c>
    </row>
    <row r="11" spans="2:51" x14ac:dyDescent="0.25">
      <c r="B11" s="6">
        <f t="shared" si="0"/>
        <v>267</v>
      </c>
      <c r="C11" s="10">
        <v>1</v>
      </c>
      <c r="D11" s="5">
        <v>40448</v>
      </c>
      <c r="E11" s="6" t="s">
        <v>333</v>
      </c>
      <c r="F11" s="34">
        <v>120</v>
      </c>
      <c r="G11" s="31"/>
      <c r="H11" s="31"/>
      <c r="I11" s="31"/>
      <c r="J11" s="31"/>
      <c r="K11" s="31"/>
      <c r="L11" s="6">
        <f t="shared" si="1"/>
        <v>-287.5</v>
      </c>
      <c r="M11" s="6">
        <f t="shared" si="2"/>
        <v>44.362213114101422</v>
      </c>
      <c r="N11" s="31"/>
      <c r="O11" s="31"/>
      <c r="P11" s="31"/>
      <c r="Q11" s="31"/>
      <c r="R11" s="31"/>
      <c r="T11" s="6">
        <f t="shared" ref="T11:T18" si="20">DAYS360("31-12-2009",U11)</f>
        <v>401</v>
      </c>
      <c r="U11" s="5">
        <v>40585</v>
      </c>
      <c r="V11" s="6" t="s">
        <v>338</v>
      </c>
      <c r="W11" s="33">
        <v>360</v>
      </c>
      <c r="X11" s="31"/>
      <c r="Y11" s="31"/>
      <c r="Z11" s="31"/>
      <c r="AA11" s="31"/>
      <c r="AB11" s="31"/>
      <c r="AC11" s="31"/>
      <c r="AD11" s="31"/>
      <c r="AE11" s="31"/>
      <c r="AF11" s="31"/>
      <c r="AG11" s="31"/>
      <c r="AH11" s="31"/>
      <c r="AI11" s="31"/>
      <c r="AJ11">
        <f t="shared" si="19"/>
        <v>26</v>
      </c>
      <c r="AK11" s="6">
        <f t="shared" si="4"/>
        <v>0.74666785486850906</v>
      </c>
      <c r="AL11" s="6">
        <f t="shared" si="5"/>
        <v>0.55382357983075869</v>
      </c>
      <c r="AM11" s="6">
        <f t="shared" si="6"/>
        <v>0.47575267845565061</v>
      </c>
      <c r="AN11" s="6">
        <f t="shared" si="7"/>
        <v>0.93013699397969707</v>
      </c>
      <c r="AO11" s="6">
        <f t="shared" si="8"/>
        <v>0.80373361047673531</v>
      </c>
      <c r="AP11" s="6">
        <f t="shared" si="9"/>
        <v>0.74666785486850906</v>
      </c>
      <c r="AQ11" s="6">
        <f t="shared" si="10"/>
        <v>0.93013699397969707</v>
      </c>
      <c r="AR11" s="6">
        <f t="shared" si="11"/>
        <v>0.80373361047673531</v>
      </c>
      <c r="AS11" s="6">
        <f t="shared" si="12"/>
        <v>0.93013699397969707</v>
      </c>
      <c r="AT11" s="6">
        <f t="shared" si="13"/>
        <v>0.8648048567383021</v>
      </c>
      <c r="AU11" s="6">
        <f t="shared" si="14"/>
        <v>0.80373361047673531</v>
      </c>
      <c r="AV11" s="6">
        <f t="shared" si="15"/>
        <v>0.93013699397969707</v>
      </c>
      <c r="AW11" s="6">
        <f t="shared" si="16"/>
        <v>0.93013699397969707</v>
      </c>
      <c r="AX11" s="6">
        <f t="shared" si="17"/>
        <v>0.92899270666650824</v>
      </c>
      <c r="AY11" s="6">
        <f t="shared" si="18"/>
        <v>0.93013699397969707</v>
      </c>
    </row>
    <row r="12" spans="2:51" x14ac:dyDescent="0.25">
      <c r="B12" s="6">
        <f t="shared" si="0"/>
        <v>401</v>
      </c>
      <c r="C12" s="14">
        <v>1</v>
      </c>
      <c r="D12" s="5">
        <v>40585</v>
      </c>
      <c r="E12" s="6" t="s">
        <v>333</v>
      </c>
      <c r="F12" s="33">
        <v>360</v>
      </c>
      <c r="G12" s="31"/>
      <c r="H12" s="31"/>
      <c r="I12" s="31"/>
      <c r="J12" s="31"/>
      <c r="K12" s="31"/>
      <c r="L12" s="6">
        <f t="shared" si="1"/>
        <v>-47.5</v>
      </c>
      <c r="M12" s="6">
        <f t="shared" si="2"/>
        <v>7.3294091231993654</v>
      </c>
      <c r="N12" s="31"/>
      <c r="O12" s="31"/>
      <c r="P12" s="31"/>
      <c r="Q12" s="31"/>
      <c r="R12" s="31"/>
      <c r="T12" s="6">
        <f t="shared" si="20"/>
        <v>402</v>
      </c>
      <c r="U12" s="5">
        <v>40586</v>
      </c>
      <c r="V12" s="6" t="s">
        <v>338</v>
      </c>
      <c r="W12" s="33">
        <v>180</v>
      </c>
      <c r="X12" s="31"/>
      <c r="Y12" s="31"/>
      <c r="Z12" s="31"/>
      <c r="AA12" s="31"/>
      <c r="AB12" s="31"/>
      <c r="AC12" s="31"/>
      <c r="AD12" s="31"/>
      <c r="AE12" s="31"/>
      <c r="AF12" s="31"/>
      <c r="AG12" s="31"/>
      <c r="AH12" s="31"/>
      <c r="AI12" s="31"/>
      <c r="AJ12">
        <f t="shared" si="19"/>
        <v>31</v>
      </c>
      <c r="AK12" s="6">
        <f t="shared" si="4"/>
        <v>0.70587676768796215</v>
      </c>
      <c r="AL12" s="6">
        <f t="shared" si="5"/>
        <v>0.49433322011463077</v>
      </c>
      <c r="AM12" s="6">
        <f t="shared" si="6"/>
        <v>0.41241948270015788</v>
      </c>
      <c r="AN12" s="6">
        <f t="shared" si="7"/>
        <v>0.9172722351583259</v>
      </c>
      <c r="AO12" s="6">
        <f t="shared" si="8"/>
        <v>0.77066291828975986</v>
      </c>
      <c r="AP12" s="6">
        <f t="shared" si="9"/>
        <v>0.70587676768796215</v>
      </c>
      <c r="AQ12" s="6">
        <f t="shared" si="10"/>
        <v>0.9172722351583259</v>
      </c>
      <c r="AR12" s="6">
        <f t="shared" si="11"/>
        <v>0.77066291828975986</v>
      </c>
      <c r="AS12" s="6">
        <f t="shared" si="12"/>
        <v>0.9172722351583259</v>
      </c>
      <c r="AT12" s="6">
        <f t="shared" si="13"/>
        <v>0.84098255907484076</v>
      </c>
      <c r="AU12" s="6">
        <f t="shared" si="14"/>
        <v>0.77066291828975986</v>
      </c>
      <c r="AV12" s="6">
        <f t="shared" si="15"/>
        <v>0.9172722351583259</v>
      </c>
      <c r="AW12" s="6">
        <f t="shared" si="16"/>
        <v>0.9172722351583259</v>
      </c>
      <c r="AX12" s="6">
        <f t="shared" si="17"/>
        <v>0.91592692207573645</v>
      </c>
      <c r="AY12" s="6">
        <f t="shared" si="18"/>
        <v>0.9172722351583259</v>
      </c>
    </row>
    <row r="13" spans="2:51" x14ac:dyDescent="0.25">
      <c r="B13" s="6">
        <f t="shared" si="0"/>
        <v>402</v>
      </c>
      <c r="C13" s="14">
        <v>1</v>
      </c>
      <c r="D13" s="5">
        <v>40586</v>
      </c>
      <c r="E13" s="6" t="s">
        <v>333</v>
      </c>
      <c r="F13" s="33">
        <v>180</v>
      </c>
      <c r="G13" s="31"/>
      <c r="H13" s="31"/>
      <c r="I13" s="31"/>
      <c r="J13" s="31"/>
      <c r="K13" s="31"/>
      <c r="L13" s="6">
        <f t="shared" si="1"/>
        <v>-227.5</v>
      </c>
      <c r="M13" s="6">
        <f t="shared" si="2"/>
        <v>35.104012116375912</v>
      </c>
      <c r="N13" s="31"/>
      <c r="O13" s="31"/>
      <c r="P13" s="31"/>
      <c r="Q13" s="31"/>
      <c r="R13" s="31"/>
      <c r="T13" s="6">
        <f t="shared" si="20"/>
        <v>404</v>
      </c>
      <c r="U13" s="5">
        <v>40588</v>
      </c>
      <c r="V13" s="6" t="s">
        <v>338</v>
      </c>
      <c r="W13" s="33">
        <v>120</v>
      </c>
      <c r="X13" s="31"/>
      <c r="Y13" s="31"/>
      <c r="Z13" s="31"/>
      <c r="AA13" s="31"/>
      <c r="AB13" s="31"/>
      <c r="AC13" s="31"/>
      <c r="AD13" s="31"/>
      <c r="AE13" s="31"/>
      <c r="AF13" s="31"/>
      <c r="AG13" s="31"/>
      <c r="AH13" s="31"/>
      <c r="AI13" s="31"/>
      <c r="AJ13">
        <f t="shared" si="19"/>
        <v>36</v>
      </c>
      <c r="AK13" s="6">
        <f t="shared" si="4"/>
        <v>0.66731413159516684</v>
      </c>
      <c r="AL13" s="6">
        <f t="shared" si="5"/>
        <v>0.44123316775998395</v>
      </c>
      <c r="AM13" s="6">
        <f t="shared" si="6"/>
        <v>0.35751733497916927</v>
      </c>
      <c r="AN13" s="6">
        <f t="shared" si="7"/>
        <v>0.9045854092872655</v>
      </c>
      <c r="AO13" s="6">
        <f t="shared" si="8"/>
        <v>0.73895296387394338</v>
      </c>
      <c r="AP13" s="6">
        <f t="shared" si="9"/>
        <v>0.66731413159516684</v>
      </c>
      <c r="AQ13" s="6">
        <f t="shared" si="10"/>
        <v>0.9045854092872655</v>
      </c>
      <c r="AR13" s="6">
        <f t="shared" si="11"/>
        <v>0.73895296387394338</v>
      </c>
      <c r="AS13" s="6">
        <f t="shared" si="12"/>
        <v>0.9045854092872655</v>
      </c>
      <c r="AT13" s="6">
        <f t="shared" si="13"/>
        <v>0.81781648097530157</v>
      </c>
      <c r="AU13" s="6">
        <f t="shared" si="14"/>
        <v>0.73895296387394338</v>
      </c>
      <c r="AV13" s="6">
        <f t="shared" si="15"/>
        <v>0.9045854092872655</v>
      </c>
      <c r="AW13" s="6">
        <f t="shared" si="16"/>
        <v>0.9045854092872655</v>
      </c>
      <c r="AX13" s="6">
        <f t="shared" si="17"/>
        <v>0.90304490074354282</v>
      </c>
      <c r="AY13" s="6">
        <f t="shared" si="18"/>
        <v>0.9045854092872655</v>
      </c>
    </row>
    <row r="14" spans="2:51" x14ac:dyDescent="0.25">
      <c r="B14" s="6">
        <f t="shared" si="0"/>
        <v>404</v>
      </c>
      <c r="C14" s="14">
        <v>1</v>
      </c>
      <c r="D14" s="5">
        <v>40588</v>
      </c>
      <c r="E14" s="6" t="s">
        <v>333</v>
      </c>
      <c r="F14" s="33">
        <v>120</v>
      </c>
      <c r="G14" s="31"/>
      <c r="H14" s="31"/>
      <c r="I14" s="31"/>
      <c r="J14" s="31"/>
      <c r="K14" s="31"/>
      <c r="L14" s="6">
        <f t="shared" si="1"/>
        <v>-287.5</v>
      </c>
      <c r="M14" s="6">
        <f t="shared" si="2"/>
        <v>44.362213114101422</v>
      </c>
      <c r="N14" s="31"/>
      <c r="O14" s="31"/>
      <c r="P14" s="31"/>
      <c r="Q14" s="31"/>
      <c r="R14" s="31"/>
      <c r="T14" s="6">
        <f t="shared" si="20"/>
        <v>461</v>
      </c>
      <c r="U14" s="5">
        <v>40644</v>
      </c>
      <c r="V14" s="6" t="s">
        <v>338</v>
      </c>
      <c r="W14" s="33">
        <v>360</v>
      </c>
      <c r="X14" s="31"/>
      <c r="Y14" s="31"/>
      <c r="Z14" s="31"/>
      <c r="AA14" s="31"/>
      <c r="AB14" s="31"/>
      <c r="AC14" s="31"/>
      <c r="AD14" s="31"/>
      <c r="AE14" s="31"/>
      <c r="AF14" s="31"/>
      <c r="AG14" s="31"/>
      <c r="AH14" s="31"/>
      <c r="AI14" s="31"/>
      <c r="AJ14">
        <f t="shared" si="19"/>
        <v>41</v>
      </c>
      <c r="AK14" s="6">
        <f t="shared" si="4"/>
        <v>0.63085820445001994</v>
      </c>
      <c r="AL14" s="6">
        <f t="shared" si="5"/>
        <v>0.39383699174893466</v>
      </c>
      <c r="AM14" s="6">
        <f t="shared" si="6"/>
        <v>0.30992387647102437</v>
      </c>
      <c r="AN14" s="6">
        <f t="shared" si="7"/>
        <v>0.89207405536936502</v>
      </c>
      <c r="AO14" s="6">
        <f t="shared" si="8"/>
        <v>0.70854775785744606</v>
      </c>
      <c r="AP14" s="6">
        <f t="shared" si="9"/>
        <v>0.63085820445001994</v>
      </c>
      <c r="AQ14" s="6">
        <f t="shared" si="10"/>
        <v>0.89207405536936502</v>
      </c>
      <c r="AR14" s="6">
        <f t="shared" si="11"/>
        <v>0.70854775785744606</v>
      </c>
      <c r="AS14" s="6">
        <f t="shared" si="12"/>
        <v>0.89207405536936502</v>
      </c>
      <c r="AT14" s="6">
        <f t="shared" si="13"/>
        <v>0.79528854592489329</v>
      </c>
      <c r="AU14" s="6">
        <f t="shared" si="14"/>
        <v>0.70854775785744606</v>
      </c>
      <c r="AV14" s="6">
        <f t="shared" si="15"/>
        <v>0.89207405536936502</v>
      </c>
      <c r="AW14" s="6">
        <f t="shared" si="16"/>
        <v>0.89207405536936502</v>
      </c>
      <c r="AX14" s="6">
        <f t="shared" si="17"/>
        <v>0.89034405813817064</v>
      </c>
      <c r="AY14" s="6">
        <f t="shared" si="18"/>
        <v>0.89207405536936502</v>
      </c>
    </row>
    <row r="15" spans="2:51" x14ac:dyDescent="0.25">
      <c r="B15" s="6">
        <f t="shared" si="0"/>
        <v>405</v>
      </c>
      <c r="C15" s="14">
        <v>1</v>
      </c>
      <c r="D15" s="5">
        <v>40589</v>
      </c>
      <c r="E15" s="6" t="s">
        <v>333</v>
      </c>
      <c r="F15" s="33">
        <v>120</v>
      </c>
      <c r="G15" s="31"/>
      <c r="H15" s="31"/>
      <c r="I15" s="31"/>
      <c r="J15" s="31"/>
      <c r="K15" s="31"/>
      <c r="L15" s="6">
        <f t="shared" si="1"/>
        <v>-287.5</v>
      </c>
      <c r="M15" s="6">
        <f t="shared" si="2"/>
        <v>44.362213114101422</v>
      </c>
      <c r="N15" s="31"/>
      <c r="O15" s="31"/>
      <c r="P15" s="31"/>
      <c r="Q15" s="31"/>
      <c r="R15" s="31"/>
      <c r="T15" s="6">
        <f t="shared" si="20"/>
        <v>497</v>
      </c>
      <c r="U15" s="5">
        <v>40680</v>
      </c>
      <c r="V15" s="6" t="s">
        <v>338</v>
      </c>
      <c r="W15" s="33">
        <v>150</v>
      </c>
      <c r="X15" s="31"/>
      <c r="Y15" s="31"/>
      <c r="Z15" s="31"/>
      <c r="AA15" s="31"/>
      <c r="AB15" s="31"/>
      <c r="AC15" s="31"/>
      <c r="AD15" s="31"/>
      <c r="AE15" s="31"/>
      <c r="AF15" s="31"/>
      <c r="AG15" s="31"/>
      <c r="AH15" s="31"/>
      <c r="AI15" s="31"/>
      <c r="AJ15">
        <f t="shared" si="19"/>
        <v>46</v>
      </c>
      <c r="AK15" s="6">
        <f t="shared" si="4"/>
        <v>0.59639389498699125</v>
      </c>
      <c r="AL15" s="6">
        <f t="shared" si="5"/>
        <v>0.3515319957864631</v>
      </c>
      <c r="AM15" s="6">
        <f t="shared" si="6"/>
        <v>0.26866615911763636</v>
      </c>
      <c r="AN15" s="6">
        <f t="shared" si="7"/>
        <v>0.87973574644561525</v>
      </c>
      <c r="AO15" s="6">
        <f t="shared" si="8"/>
        <v>0.67939361462586423</v>
      </c>
      <c r="AP15" s="6">
        <f t="shared" si="9"/>
        <v>0.59639389498699125</v>
      </c>
      <c r="AQ15" s="6">
        <f t="shared" si="10"/>
        <v>0.87973574644561525</v>
      </c>
      <c r="AR15" s="6">
        <f t="shared" si="11"/>
        <v>0.67939361462586423</v>
      </c>
      <c r="AS15" s="6">
        <f t="shared" si="12"/>
        <v>0.87973574644561525</v>
      </c>
      <c r="AT15" s="6">
        <f t="shared" si="13"/>
        <v>0.77338117535250839</v>
      </c>
      <c r="AU15" s="6">
        <f t="shared" si="14"/>
        <v>0.67939361462586423</v>
      </c>
      <c r="AV15" s="6">
        <f t="shared" si="15"/>
        <v>0.87973574644561525</v>
      </c>
      <c r="AW15" s="6">
        <f t="shared" si="16"/>
        <v>0.87973574644561525</v>
      </c>
      <c r="AX15" s="6">
        <f t="shared" si="17"/>
        <v>0.87782184607791702</v>
      </c>
      <c r="AY15" s="6">
        <f t="shared" si="18"/>
        <v>0.87973574644561525</v>
      </c>
    </row>
    <row r="16" spans="2:51" x14ac:dyDescent="0.25">
      <c r="B16" s="6">
        <f t="shared" si="0"/>
        <v>461</v>
      </c>
      <c r="C16" s="14">
        <v>1</v>
      </c>
      <c r="D16" s="5">
        <v>40644</v>
      </c>
      <c r="E16" s="6" t="s">
        <v>333</v>
      </c>
      <c r="F16" s="33">
        <v>360</v>
      </c>
      <c r="G16" s="31"/>
      <c r="H16" s="31"/>
      <c r="I16" s="31"/>
      <c r="J16" s="31"/>
      <c r="K16" s="31"/>
      <c r="L16" s="6">
        <f t="shared" si="1"/>
        <v>-47.5</v>
      </c>
      <c r="M16" s="6">
        <f t="shared" si="2"/>
        <v>7.3294091231993654</v>
      </c>
      <c r="N16" s="31"/>
      <c r="O16" s="31"/>
      <c r="P16" s="31"/>
      <c r="Q16" s="31"/>
      <c r="R16" s="31"/>
      <c r="T16" s="6">
        <f t="shared" si="20"/>
        <v>497</v>
      </c>
      <c r="U16" s="5">
        <v>40680</v>
      </c>
      <c r="V16" s="6" t="s">
        <v>338</v>
      </c>
      <c r="W16" s="33">
        <v>150</v>
      </c>
      <c r="X16" s="31"/>
      <c r="Y16" s="31"/>
      <c r="Z16" s="31"/>
      <c r="AA16" s="31"/>
      <c r="AB16" s="31"/>
      <c r="AC16" s="31"/>
      <c r="AD16" s="31"/>
      <c r="AE16" s="31"/>
      <c r="AF16" s="31"/>
      <c r="AG16" s="31"/>
      <c r="AH16" s="31"/>
      <c r="AI16" s="31"/>
      <c r="AJ16">
        <f t="shared" si="19"/>
        <v>51</v>
      </c>
      <c r="AK16" s="6">
        <f t="shared" si="4"/>
        <v>0.56381239947230277</v>
      </c>
      <c r="AL16" s="6">
        <f t="shared" si="5"/>
        <v>0.31377129789877883</v>
      </c>
      <c r="AM16" s="6">
        <f t="shared" si="6"/>
        <v>0.2329007557498447</v>
      </c>
      <c r="AN16" s="6">
        <f t="shared" si="7"/>
        <v>0.867568089124366</v>
      </c>
      <c r="AO16" s="6">
        <f t="shared" si="8"/>
        <v>0.65143905753105558</v>
      </c>
      <c r="AP16" s="6">
        <f t="shared" si="9"/>
        <v>0.56381239947230277</v>
      </c>
      <c r="AQ16" s="6">
        <f t="shared" si="10"/>
        <v>0.867568089124366</v>
      </c>
      <c r="AR16" s="6">
        <f t="shared" si="11"/>
        <v>0.65143905753105558</v>
      </c>
      <c r="AS16" s="6">
        <f t="shared" si="12"/>
        <v>0.867568089124366</v>
      </c>
      <c r="AT16" s="6">
        <f t="shared" si="13"/>
        <v>0.752077274914146</v>
      </c>
      <c r="AU16" s="6">
        <f t="shared" si="14"/>
        <v>0.65143905753105558</v>
      </c>
      <c r="AV16" s="6">
        <f t="shared" si="15"/>
        <v>0.867568089124366</v>
      </c>
      <c r="AW16" s="6">
        <f t="shared" si="16"/>
        <v>0.867568089124366</v>
      </c>
      <c r="AX16" s="6">
        <f t="shared" si="17"/>
        <v>0.86547575221988959</v>
      </c>
      <c r="AY16" s="6">
        <f t="shared" si="18"/>
        <v>0.867568089124366</v>
      </c>
    </row>
    <row r="17" spans="2:51" x14ac:dyDescent="0.25">
      <c r="B17" s="6">
        <f t="shared" si="0"/>
        <v>497</v>
      </c>
      <c r="C17" s="14">
        <v>2</v>
      </c>
      <c r="D17" s="5">
        <v>40680</v>
      </c>
      <c r="E17" s="6" t="s">
        <v>333</v>
      </c>
      <c r="F17" s="33">
        <v>150</v>
      </c>
      <c r="G17" s="31"/>
      <c r="H17" s="31"/>
      <c r="I17" s="31"/>
      <c r="J17" s="31"/>
      <c r="K17" s="31"/>
      <c r="L17" s="6">
        <f t="shared" si="1"/>
        <v>-257.5</v>
      </c>
      <c r="M17" s="6">
        <f t="shared" si="2"/>
        <v>39.733112615238667</v>
      </c>
      <c r="N17" s="31"/>
      <c r="O17" s="31"/>
      <c r="P17" s="31"/>
      <c r="Q17" s="31"/>
      <c r="R17" s="31"/>
      <c r="T17" s="6">
        <f t="shared" si="20"/>
        <v>504</v>
      </c>
      <c r="U17" s="5">
        <v>40687</v>
      </c>
      <c r="V17" s="6" t="s">
        <v>338</v>
      </c>
      <c r="W17" s="33">
        <v>180</v>
      </c>
      <c r="X17" s="31"/>
      <c r="Y17" s="31"/>
      <c r="Z17" s="31"/>
      <c r="AA17" s="31"/>
      <c r="AB17" s="31"/>
      <c r="AC17" s="31"/>
      <c r="AD17" s="31"/>
      <c r="AE17" s="31"/>
      <c r="AF17" s="31"/>
      <c r="AG17" s="31"/>
      <c r="AH17" s="31"/>
      <c r="AI17" s="31"/>
      <c r="AJ17">
        <f t="shared" si="19"/>
        <v>56</v>
      </c>
      <c r="AK17" s="6">
        <f t="shared" si="4"/>
        <v>0.53301085821082961</v>
      </c>
      <c r="AL17" s="6">
        <f t="shared" si="5"/>
        <v>0.28006676082164889</v>
      </c>
      <c r="AM17" s="6">
        <f t="shared" si="6"/>
        <v>0.20189651799465544</v>
      </c>
      <c r="AN17" s="6">
        <f t="shared" si="7"/>
        <v>0.85556872311705456</v>
      </c>
      <c r="AO17" s="6">
        <f t="shared" si="8"/>
        <v>0.62463472800027442</v>
      </c>
      <c r="AP17" s="6">
        <f t="shared" si="9"/>
        <v>0.53301085821082961</v>
      </c>
      <c r="AQ17" s="6">
        <f t="shared" si="10"/>
        <v>0.85556872311705456</v>
      </c>
      <c r="AR17" s="6">
        <f t="shared" si="11"/>
        <v>0.62463472800027442</v>
      </c>
      <c r="AS17" s="6">
        <f t="shared" si="12"/>
        <v>0.85556872311705456</v>
      </c>
      <c r="AT17" s="6">
        <f t="shared" si="13"/>
        <v>0.73136022115417709</v>
      </c>
      <c r="AU17" s="6">
        <f t="shared" si="14"/>
        <v>0.62463472800027442</v>
      </c>
      <c r="AV17" s="6">
        <f t="shared" si="15"/>
        <v>0.85556872311705456</v>
      </c>
      <c r="AW17" s="6">
        <f t="shared" si="16"/>
        <v>0.85556872311705456</v>
      </c>
      <c r="AX17" s="6">
        <f t="shared" si="17"/>
        <v>0.85330329955595197</v>
      </c>
      <c r="AY17" s="6">
        <f t="shared" si="18"/>
        <v>0.85556872311705456</v>
      </c>
    </row>
    <row r="18" spans="2:51" x14ac:dyDescent="0.25">
      <c r="B18" s="6">
        <f t="shared" si="0"/>
        <v>504</v>
      </c>
      <c r="C18" s="14">
        <v>1</v>
      </c>
      <c r="D18" s="5">
        <v>40687</v>
      </c>
      <c r="E18" s="6" t="s">
        <v>333</v>
      </c>
      <c r="F18" s="33">
        <v>180</v>
      </c>
      <c r="G18" s="31"/>
      <c r="H18" s="31"/>
      <c r="I18" s="31"/>
      <c r="J18" s="31"/>
      <c r="K18" s="31"/>
      <c r="L18" s="6">
        <f t="shared" si="1"/>
        <v>-227.5</v>
      </c>
      <c r="M18" s="6">
        <f t="shared" si="2"/>
        <v>35.104012116375912</v>
      </c>
      <c r="N18" s="31"/>
      <c r="O18" s="31"/>
      <c r="P18" s="31"/>
      <c r="Q18" s="31"/>
      <c r="R18" s="31"/>
      <c r="T18" s="6">
        <f t="shared" si="20"/>
        <v>576</v>
      </c>
      <c r="U18" s="5">
        <v>40761</v>
      </c>
      <c r="V18" s="6" t="s">
        <v>338</v>
      </c>
      <c r="W18" s="33">
        <v>120</v>
      </c>
      <c r="X18" s="6">
        <f>COUNT(W11:W18)</f>
        <v>8</v>
      </c>
      <c r="Y18" s="6">
        <f>SUM(W11:W18)</f>
        <v>1620</v>
      </c>
      <c r="Z18" s="6">
        <f>($F$51-Y18)/X18</f>
        <v>64597.5</v>
      </c>
      <c r="AA18" s="6">
        <f>INT(Z18/60/24)</f>
        <v>44</v>
      </c>
      <c r="AB18" s="6">
        <f>Y18/X18</f>
        <v>202.5</v>
      </c>
      <c r="AC18" s="6">
        <f>Y18-W19</f>
        <v>1417.5</v>
      </c>
      <c r="AD18" s="33">
        <f>SQRT((AC18*AC18)/COUNT(W11:W18))</f>
        <v>501.16193116596554</v>
      </c>
      <c r="AE18" s="6">
        <f>1/AA18</f>
        <v>2.2727272727272728E-2</v>
      </c>
      <c r="AF18" s="6">
        <f>AE18*EXP(-AE18*(365*1))</f>
        <v>5.6738413696875708E-6</v>
      </c>
      <c r="AG18" s="6">
        <f>1-EXP(-AE18*(365*1))</f>
        <v>0.99975035097973375</v>
      </c>
      <c r="AH18" s="6">
        <f>EXP(-AE18*(365*1))</f>
        <v>2.4964902026625309E-4</v>
      </c>
      <c r="AI18" s="6">
        <f>$F$51/(Y18+$F$51)*100</f>
        <v>99.688473520249218</v>
      </c>
      <c r="AJ18">
        <f t="shared" si="19"/>
        <v>61</v>
      </c>
      <c r="AK18" s="6">
        <f t="shared" si="4"/>
        <v>0.5038920308183138</v>
      </c>
      <c r="AL18" s="6">
        <f t="shared" si="5"/>
        <v>0.2499826817889321</v>
      </c>
      <c r="AM18" s="6">
        <f t="shared" si="6"/>
        <v>0.17501962948608163</v>
      </c>
      <c r="AN18" s="6">
        <f t="shared" si="7"/>
        <v>0.84373532078035562</v>
      </c>
      <c r="AO18" s="6">
        <f t="shared" si="8"/>
        <v>0.59893329838513198</v>
      </c>
      <c r="AP18" s="6">
        <f t="shared" si="9"/>
        <v>0.5038920308183138</v>
      </c>
      <c r="AQ18" s="6">
        <f t="shared" si="10"/>
        <v>0.84373532078035562</v>
      </c>
      <c r="AR18" s="6">
        <f t="shared" si="11"/>
        <v>0.59893329838513198</v>
      </c>
      <c r="AS18" s="6">
        <f t="shared" si="12"/>
        <v>0.84373532078035562</v>
      </c>
      <c r="AT18" s="6">
        <f t="shared" si="13"/>
        <v>0.71121384853404512</v>
      </c>
      <c r="AU18" s="6">
        <f t="shared" si="14"/>
        <v>0.59893329838513198</v>
      </c>
      <c r="AV18" s="6">
        <f t="shared" si="15"/>
        <v>0.84373532078035562</v>
      </c>
      <c r="AW18" s="6">
        <f t="shared" si="16"/>
        <v>0.84373532078035562</v>
      </c>
      <c r="AX18" s="6">
        <f t="shared" si="17"/>
        <v>0.84130204591576041</v>
      </c>
      <c r="AY18" s="6">
        <f t="shared" si="18"/>
        <v>0.84373532078035562</v>
      </c>
    </row>
    <row r="19" spans="2:51" x14ac:dyDescent="0.25">
      <c r="B19" s="6">
        <f t="shared" si="0"/>
        <v>576</v>
      </c>
      <c r="C19" s="14">
        <v>1</v>
      </c>
      <c r="D19" s="5">
        <v>40761</v>
      </c>
      <c r="E19" s="6" t="s">
        <v>333</v>
      </c>
      <c r="F19" s="33">
        <v>120</v>
      </c>
      <c r="G19" s="31"/>
      <c r="H19" s="31"/>
      <c r="I19" s="31"/>
      <c r="J19" s="31"/>
      <c r="K19" s="31"/>
      <c r="L19" s="6">
        <f t="shared" si="1"/>
        <v>-287.5</v>
      </c>
      <c r="M19" s="6">
        <f t="shared" si="2"/>
        <v>44.362213114101422</v>
      </c>
      <c r="N19" s="31"/>
      <c r="O19" s="31"/>
      <c r="P19" s="31"/>
      <c r="Q19" s="31"/>
      <c r="R19" s="31"/>
      <c r="T19" s="31"/>
      <c r="U19" s="31"/>
      <c r="V19" s="43" t="s">
        <v>235</v>
      </c>
      <c r="W19" s="6">
        <f>AVERAGE(W11:W18)</f>
        <v>202.5</v>
      </c>
      <c r="X19" s="31"/>
      <c r="Y19" s="31"/>
      <c r="Z19" s="31"/>
      <c r="AA19" s="31"/>
      <c r="AB19" s="31"/>
      <c r="AC19" s="31"/>
      <c r="AD19" s="31"/>
      <c r="AE19" s="31"/>
      <c r="AF19" s="31"/>
      <c r="AG19" s="31"/>
      <c r="AH19" s="31"/>
      <c r="AI19" s="31"/>
      <c r="AJ19">
        <f t="shared" si="19"/>
        <v>66</v>
      </c>
      <c r="AK19" s="6">
        <f t="shared" si="4"/>
        <v>0.47636398923372941</v>
      </c>
      <c r="AL19" s="6">
        <f t="shared" si="5"/>
        <v>0.22313016014842982</v>
      </c>
      <c r="AM19" s="6">
        <f t="shared" si="6"/>
        <v>0.15172064882394942</v>
      </c>
      <c r="AN19" s="6">
        <f t="shared" si="7"/>
        <v>0.83206558666466413</v>
      </c>
      <c r="AO19" s="6">
        <f t="shared" si="8"/>
        <v>0.57428938839650279</v>
      </c>
      <c r="AP19" s="6">
        <f t="shared" si="9"/>
        <v>0.47636398923372941</v>
      </c>
      <c r="AQ19" s="6">
        <f t="shared" si="10"/>
        <v>0.83206558666466413</v>
      </c>
      <c r="AR19" s="6">
        <f t="shared" si="11"/>
        <v>0.57428938839650279</v>
      </c>
      <c r="AS19" s="6">
        <f t="shared" si="12"/>
        <v>0.83206558666466413</v>
      </c>
      <c r="AT19" s="6">
        <f t="shared" si="13"/>
        <v>0.69162243681827928</v>
      </c>
      <c r="AU19" s="6">
        <f t="shared" si="14"/>
        <v>0.57428938839650279</v>
      </c>
      <c r="AV19" s="6">
        <f t="shared" si="15"/>
        <v>0.83206558666466413</v>
      </c>
      <c r="AW19" s="6">
        <f t="shared" si="16"/>
        <v>0.83206558666466413</v>
      </c>
      <c r="AX19" s="6">
        <f t="shared" si="17"/>
        <v>0.82946958347678779</v>
      </c>
      <c r="AY19" s="6">
        <f t="shared" si="18"/>
        <v>0.83206558666466413</v>
      </c>
    </row>
    <row r="20" spans="2:51" x14ac:dyDescent="0.25">
      <c r="B20" s="6">
        <f t="shared" si="0"/>
        <v>788</v>
      </c>
      <c r="C20" s="10">
        <v>1</v>
      </c>
      <c r="D20" s="5">
        <v>40976</v>
      </c>
      <c r="E20" s="6" t="s">
        <v>333</v>
      </c>
      <c r="F20" s="33">
        <v>240</v>
      </c>
      <c r="G20" s="31"/>
      <c r="H20" s="31"/>
      <c r="I20" s="31"/>
      <c r="J20" s="31"/>
      <c r="K20" s="31"/>
      <c r="L20" s="6">
        <f t="shared" si="1"/>
        <v>-167.5</v>
      </c>
      <c r="M20" s="6">
        <f t="shared" si="2"/>
        <v>25.845811118650396</v>
      </c>
      <c r="N20" s="31"/>
      <c r="O20" s="31"/>
      <c r="P20" s="31"/>
      <c r="Q20" s="31"/>
      <c r="R20" s="31"/>
      <c r="T20" s="6">
        <f t="shared" ref="T20:T29" si="21">DAYS360("31-12-2009",U20)</f>
        <v>801</v>
      </c>
      <c r="U20" s="5">
        <v>40989</v>
      </c>
      <c r="V20" s="6" t="s">
        <v>338</v>
      </c>
      <c r="W20" s="33">
        <v>30</v>
      </c>
      <c r="X20" s="31"/>
      <c r="Y20" s="31"/>
      <c r="Z20" s="31"/>
      <c r="AA20" s="31"/>
      <c r="AB20" s="31"/>
      <c r="AC20" s="31"/>
      <c r="AD20" s="31"/>
      <c r="AE20" s="31"/>
      <c r="AF20" s="31"/>
      <c r="AG20" s="31"/>
      <c r="AH20" s="31"/>
      <c r="AI20" s="31"/>
      <c r="AJ20">
        <f t="shared" si="19"/>
        <v>71</v>
      </c>
      <c r="AK20" s="6">
        <f t="shared" si="4"/>
        <v>0.45033982750263662</v>
      </c>
      <c r="AL20" s="6">
        <f t="shared" si="5"/>
        <v>0.19916206999451525</v>
      </c>
      <c r="AM20" s="6">
        <f t="shared" si="6"/>
        <v>0.13152327740124015</v>
      </c>
      <c r="AN20" s="6">
        <f t="shared" si="7"/>
        <v>0.82055725706882254</v>
      </c>
      <c r="AO20" s="6">
        <f t="shared" si="8"/>
        <v>0.55065948497782913</v>
      </c>
      <c r="AP20" s="6">
        <f t="shared" si="9"/>
        <v>0.45033982750263662</v>
      </c>
      <c r="AQ20" s="6">
        <f t="shared" si="10"/>
        <v>0.82055725706882254</v>
      </c>
      <c r="AR20" s="6">
        <f t="shared" si="11"/>
        <v>0.55065948497782913</v>
      </c>
      <c r="AS20" s="6">
        <f t="shared" si="12"/>
        <v>0.82055725706882254</v>
      </c>
      <c r="AT20" s="6">
        <f t="shared" si="13"/>
        <v>0.67257069880797882</v>
      </c>
      <c r="AU20" s="6">
        <f t="shared" si="14"/>
        <v>0.55065948497782913</v>
      </c>
      <c r="AV20" s="6">
        <f t="shared" si="15"/>
        <v>0.82055725706882254</v>
      </c>
      <c r="AW20" s="6">
        <f t="shared" si="16"/>
        <v>0.82055725706882254</v>
      </c>
      <c r="AX20" s="6">
        <f t="shared" si="17"/>
        <v>0.81780353828124086</v>
      </c>
      <c r="AY20" s="6">
        <f t="shared" si="18"/>
        <v>0.82055725706882254</v>
      </c>
    </row>
    <row r="21" spans="2:51" x14ac:dyDescent="0.25">
      <c r="B21" s="6">
        <f t="shared" si="0"/>
        <v>792</v>
      </c>
      <c r="C21" s="10">
        <v>1</v>
      </c>
      <c r="D21" s="5">
        <v>40980</v>
      </c>
      <c r="E21" s="6" t="s">
        <v>333</v>
      </c>
      <c r="F21" s="33">
        <v>30</v>
      </c>
      <c r="G21" s="31"/>
      <c r="H21" s="31"/>
      <c r="I21" s="31"/>
      <c r="J21" s="31"/>
      <c r="K21" s="31"/>
      <c r="L21" s="6">
        <f t="shared" si="1"/>
        <v>-377.5</v>
      </c>
      <c r="M21" s="6">
        <f t="shared" si="2"/>
        <v>58.249514610689694</v>
      </c>
      <c r="N21" s="31"/>
      <c r="O21" s="31"/>
      <c r="P21" s="31"/>
      <c r="Q21" s="31"/>
      <c r="R21" s="31"/>
      <c r="T21" s="6">
        <f t="shared" si="21"/>
        <v>826</v>
      </c>
      <c r="U21" s="5">
        <v>41015</v>
      </c>
      <c r="V21" s="6" t="s">
        <v>338</v>
      </c>
      <c r="W21" s="33">
        <v>300</v>
      </c>
      <c r="X21" s="31"/>
      <c r="Y21" s="31"/>
      <c r="Z21" s="31"/>
      <c r="AA21" s="31"/>
      <c r="AB21" s="31"/>
      <c r="AC21" s="31"/>
      <c r="AD21" s="31"/>
      <c r="AE21" s="31"/>
      <c r="AF21" s="31"/>
      <c r="AG21" s="31"/>
      <c r="AH21" s="31"/>
      <c r="AI21" s="31"/>
      <c r="AJ21">
        <f t="shared" si="19"/>
        <v>76</v>
      </c>
      <c r="AK21" s="6">
        <f t="shared" si="4"/>
        <v>0.42573738741531353</v>
      </c>
      <c r="AL21" s="6">
        <f t="shared" si="5"/>
        <v>0.17776857282813782</v>
      </c>
      <c r="AM21" s="6">
        <f t="shared" si="6"/>
        <v>0.11401462248184759</v>
      </c>
      <c r="AN21" s="6">
        <f t="shared" si="7"/>
        <v>0.80920809960100692</v>
      </c>
      <c r="AO21" s="6">
        <f t="shared" si="8"/>
        <v>0.52800186547534433</v>
      </c>
      <c r="AP21" s="6">
        <f t="shared" si="9"/>
        <v>0.42573738741531353</v>
      </c>
      <c r="AQ21" s="6">
        <f t="shared" si="10"/>
        <v>0.80920809960100692</v>
      </c>
      <c r="AR21" s="6">
        <f t="shared" si="11"/>
        <v>0.52800186547534433</v>
      </c>
      <c r="AS21" s="6">
        <f t="shared" si="12"/>
        <v>0.80920809960100692</v>
      </c>
      <c r="AT21" s="6">
        <f t="shared" si="13"/>
        <v>0.65404376841219558</v>
      </c>
      <c r="AU21" s="6">
        <f t="shared" si="14"/>
        <v>0.52800186547534433</v>
      </c>
      <c r="AV21" s="6">
        <f t="shared" si="15"/>
        <v>0.80920809960100692</v>
      </c>
      <c r="AW21" s="6">
        <f t="shared" si="16"/>
        <v>0.80920809960100692</v>
      </c>
      <c r="AX21" s="6">
        <f t="shared" si="17"/>
        <v>0.80630156975977052</v>
      </c>
      <c r="AY21" s="6">
        <f t="shared" si="18"/>
        <v>0.80920809960100692</v>
      </c>
    </row>
    <row r="22" spans="2:51" x14ac:dyDescent="0.25">
      <c r="B22" s="6">
        <f t="shared" si="0"/>
        <v>801</v>
      </c>
      <c r="C22" s="10">
        <v>1</v>
      </c>
      <c r="D22" s="5">
        <v>40989</v>
      </c>
      <c r="E22" s="6" t="s">
        <v>333</v>
      </c>
      <c r="F22" s="33">
        <v>30</v>
      </c>
      <c r="G22" s="31"/>
      <c r="H22" s="31"/>
      <c r="I22" s="31"/>
      <c r="J22" s="31"/>
      <c r="K22" s="31"/>
      <c r="L22" s="6">
        <f t="shared" si="1"/>
        <v>-377.5</v>
      </c>
      <c r="M22" s="6">
        <f t="shared" si="2"/>
        <v>58.249514610689694</v>
      </c>
      <c r="N22" s="31"/>
      <c r="O22" s="31"/>
      <c r="P22" s="31"/>
      <c r="Q22" s="31"/>
      <c r="R22" s="31"/>
      <c r="T22" s="6">
        <f t="shared" si="21"/>
        <v>828</v>
      </c>
      <c r="U22" s="5">
        <v>41017</v>
      </c>
      <c r="V22" s="6" t="s">
        <v>338</v>
      </c>
      <c r="W22" s="33">
        <v>120</v>
      </c>
      <c r="X22" s="31"/>
      <c r="Y22" s="31"/>
      <c r="Z22" s="31"/>
      <c r="AA22" s="31"/>
      <c r="AB22" s="31"/>
      <c r="AC22" s="31"/>
      <c r="AD22" s="31"/>
      <c r="AE22" s="31"/>
      <c r="AF22" s="31"/>
      <c r="AG22" s="31"/>
      <c r="AH22" s="31"/>
      <c r="AI22" s="31"/>
      <c r="AJ22">
        <f t="shared" si="19"/>
        <v>81</v>
      </c>
      <c r="AK22" s="6">
        <f t="shared" si="4"/>
        <v>0.4024789991335056</v>
      </c>
      <c r="AL22" s="6">
        <f t="shared" si="5"/>
        <v>0.15867311223579478</v>
      </c>
      <c r="AM22" s="6">
        <f t="shared" si="6"/>
        <v>9.8836756477873877E-2</v>
      </c>
      <c r="AN22" s="6">
        <f t="shared" si="7"/>
        <v>0.79801591274568617</v>
      </c>
      <c r="AO22" s="6">
        <f t="shared" si="8"/>
        <v>0.50627652396956024</v>
      </c>
      <c r="AP22" s="6">
        <f t="shared" si="9"/>
        <v>0.4024789991335056</v>
      </c>
      <c r="AQ22" s="6">
        <f t="shared" si="10"/>
        <v>0.79801591274568617</v>
      </c>
      <c r="AR22" s="6">
        <f t="shared" si="11"/>
        <v>0.50627652396956024</v>
      </c>
      <c r="AS22" s="6">
        <f t="shared" si="12"/>
        <v>0.79801591274568617</v>
      </c>
      <c r="AT22" s="6">
        <f t="shared" si="13"/>
        <v>0.63602718904790756</v>
      </c>
      <c r="AU22" s="6">
        <f t="shared" si="14"/>
        <v>0.50627652396956024</v>
      </c>
      <c r="AV22" s="6">
        <f t="shared" si="15"/>
        <v>0.79801591274568617</v>
      </c>
      <c r="AW22" s="6">
        <f t="shared" si="16"/>
        <v>0.79801591274568617</v>
      </c>
      <c r="AX22" s="6">
        <f t="shared" si="17"/>
        <v>0.79496137026188129</v>
      </c>
      <c r="AY22" s="6">
        <f t="shared" si="18"/>
        <v>0.79801591274568617</v>
      </c>
    </row>
    <row r="23" spans="2:51" x14ac:dyDescent="0.25">
      <c r="B23" s="6">
        <f t="shared" si="0"/>
        <v>819</v>
      </c>
      <c r="C23" s="14">
        <v>1</v>
      </c>
      <c r="D23" s="5">
        <v>41008</v>
      </c>
      <c r="E23" s="6" t="s">
        <v>333</v>
      </c>
      <c r="F23" s="33">
        <v>60</v>
      </c>
      <c r="G23" s="31"/>
      <c r="H23" s="31"/>
      <c r="I23" s="31"/>
      <c r="J23" s="31"/>
      <c r="K23" s="31"/>
      <c r="L23" s="6">
        <f t="shared" si="1"/>
        <v>-347.5</v>
      </c>
      <c r="M23" s="6">
        <f t="shared" si="2"/>
        <v>53.620414111826939</v>
      </c>
      <c r="N23" s="31"/>
      <c r="O23" s="31"/>
      <c r="P23" s="31"/>
      <c r="Q23" s="31"/>
      <c r="R23" s="31"/>
      <c r="T23" s="6">
        <f t="shared" si="21"/>
        <v>837</v>
      </c>
      <c r="U23" s="5">
        <v>41026</v>
      </c>
      <c r="V23" s="6" t="s">
        <v>338</v>
      </c>
      <c r="W23" s="33">
        <v>60</v>
      </c>
      <c r="X23" s="31"/>
      <c r="Y23" s="31"/>
      <c r="Z23" s="31"/>
      <c r="AA23" s="31"/>
      <c r="AB23" s="31"/>
      <c r="AC23" s="31"/>
      <c r="AD23" s="31"/>
      <c r="AE23" s="31"/>
      <c r="AF23" s="31"/>
      <c r="AG23" s="31"/>
      <c r="AH23" s="31"/>
      <c r="AI23" s="31"/>
      <c r="AJ23">
        <f t="shared" si="19"/>
        <v>86</v>
      </c>
      <c r="AK23" s="6">
        <f t="shared" si="4"/>
        <v>0.38049123598695195</v>
      </c>
      <c r="AL23" s="6">
        <f t="shared" si="5"/>
        <v>0.14162883881018593</v>
      </c>
      <c r="AM23" s="6">
        <f t="shared" si="6"/>
        <v>8.5679399873659468E-2</v>
      </c>
      <c r="AN23" s="6">
        <f t="shared" si="7"/>
        <v>0.78697852543657143</v>
      </c>
      <c r="AO23" s="6">
        <f t="shared" si="8"/>
        <v>0.48544510063794399</v>
      </c>
      <c r="AP23" s="6">
        <f t="shared" si="9"/>
        <v>0.38049123598695195</v>
      </c>
      <c r="AQ23" s="6">
        <f t="shared" si="10"/>
        <v>0.78697852543657143</v>
      </c>
      <c r="AR23" s="6">
        <f t="shared" si="11"/>
        <v>0.48544510063794399</v>
      </c>
      <c r="AS23" s="6">
        <f t="shared" si="12"/>
        <v>0.78697852543657143</v>
      </c>
      <c r="AT23" s="6">
        <f t="shared" si="13"/>
        <v>0.61850690235953287</v>
      </c>
      <c r="AU23" s="6">
        <f t="shared" si="14"/>
        <v>0.48544510063794399</v>
      </c>
      <c r="AV23" s="6">
        <f t="shared" si="15"/>
        <v>0.78697852543657143</v>
      </c>
      <c r="AW23" s="6">
        <f t="shared" si="16"/>
        <v>0.78697852543657143</v>
      </c>
      <c r="AX23" s="6">
        <f t="shared" si="17"/>
        <v>0.78378066459294515</v>
      </c>
      <c r="AY23" s="6">
        <f t="shared" si="18"/>
        <v>0.78697852543657143</v>
      </c>
    </row>
    <row r="24" spans="2:51" x14ac:dyDescent="0.25">
      <c r="B24" s="6">
        <f t="shared" si="0"/>
        <v>826</v>
      </c>
      <c r="C24" s="14">
        <v>1</v>
      </c>
      <c r="D24" s="5">
        <v>41015</v>
      </c>
      <c r="E24" s="6" t="s">
        <v>333</v>
      </c>
      <c r="F24" s="33">
        <v>300</v>
      </c>
      <c r="G24" s="31"/>
      <c r="H24" s="31"/>
      <c r="I24" s="31"/>
      <c r="J24" s="31"/>
      <c r="K24" s="31"/>
      <c r="L24" s="6">
        <f t="shared" si="1"/>
        <v>-107.5</v>
      </c>
      <c r="M24" s="6">
        <f t="shared" si="2"/>
        <v>16.587610120924879</v>
      </c>
      <c r="N24" s="31"/>
      <c r="O24" s="31"/>
      <c r="P24" s="31"/>
      <c r="Q24" s="31"/>
      <c r="R24" s="31"/>
      <c r="T24" s="6">
        <f t="shared" si="21"/>
        <v>864</v>
      </c>
      <c r="U24" s="5">
        <v>41053</v>
      </c>
      <c r="V24" s="6" t="s">
        <v>338</v>
      </c>
      <c r="W24" s="33">
        <v>60</v>
      </c>
      <c r="X24" s="31"/>
      <c r="Y24" s="31"/>
      <c r="Z24" s="31"/>
      <c r="AA24" s="31"/>
      <c r="AB24" s="31"/>
      <c r="AC24" s="31"/>
      <c r="AD24" s="31"/>
      <c r="AE24" s="31"/>
      <c r="AF24" s="31"/>
      <c r="AG24" s="31"/>
      <c r="AH24" s="31"/>
      <c r="AI24" s="31"/>
      <c r="AJ24">
        <f t="shared" si="19"/>
        <v>91</v>
      </c>
      <c r="AK24" s="6">
        <f t="shared" si="4"/>
        <v>0.35970468266558103</v>
      </c>
      <c r="AL24" s="6">
        <f t="shared" si="5"/>
        <v>0.12641541909705237</v>
      </c>
      <c r="AM24" s="6">
        <f t="shared" si="6"/>
        <v>7.4273578214333877E-2</v>
      </c>
      <c r="AN24" s="6">
        <f t="shared" si="7"/>
        <v>0.77609379663547085</v>
      </c>
      <c r="AO24" s="6">
        <f t="shared" si="8"/>
        <v>0.46547081402406171</v>
      </c>
      <c r="AP24" s="6">
        <f t="shared" si="9"/>
        <v>0.35970468266558103</v>
      </c>
      <c r="AQ24" s="6">
        <f t="shared" si="10"/>
        <v>0.77609379663547085</v>
      </c>
      <c r="AR24" s="6">
        <f t="shared" si="11"/>
        <v>0.46547081402406171</v>
      </c>
      <c r="AS24" s="6">
        <f t="shared" si="12"/>
        <v>0.77609379663547085</v>
      </c>
      <c r="AT24" s="6">
        <f t="shared" si="13"/>
        <v>0.60146923724917967</v>
      </c>
      <c r="AU24" s="6">
        <f t="shared" si="14"/>
        <v>0.46547081402406171</v>
      </c>
      <c r="AV24" s="6">
        <f t="shared" si="15"/>
        <v>0.77609379663547085</v>
      </c>
      <c r="AW24" s="6">
        <f t="shared" si="16"/>
        <v>0.77609379663547085</v>
      </c>
      <c r="AX24" s="6">
        <f t="shared" si="17"/>
        <v>0.77275720955772753</v>
      </c>
      <c r="AY24" s="6">
        <f t="shared" si="18"/>
        <v>0.77609379663547085</v>
      </c>
    </row>
    <row r="25" spans="2:51" x14ac:dyDescent="0.25">
      <c r="B25" s="6">
        <f t="shared" si="0"/>
        <v>828</v>
      </c>
      <c r="C25" s="14">
        <v>1</v>
      </c>
      <c r="D25" s="5">
        <v>41017</v>
      </c>
      <c r="E25" s="6" t="s">
        <v>333</v>
      </c>
      <c r="F25" s="33">
        <v>120</v>
      </c>
      <c r="G25" s="31"/>
      <c r="H25" s="31"/>
      <c r="I25" s="31"/>
      <c r="J25" s="31"/>
      <c r="K25" s="31"/>
      <c r="L25" s="6">
        <f t="shared" si="1"/>
        <v>-287.5</v>
      </c>
      <c r="M25" s="6">
        <f t="shared" si="2"/>
        <v>44.362213114101422</v>
      </c>
      <c r="N25" s="31"/>
      <c r="O25" s="31"/>
      <c r="P25" s="31"/>
      <c r="Q25" s="31"/>
      <c r="R25" s="31"/>
      <c r="T25" s="6">
        <f t="shared" si="21"/>
        <v>879</v>
      </c>
      <c r="U25" s="5">
        <v>41069</v>
      </c>
      <c r="V25" s="6" t="s">
        <v>338</v>
      </c>
      <c r="W25" s="33">
        <v>60</v>
      </c>
      <c r="X25" s="31"/>
      <c r="Y25" s="31"/>
      <c r="Z25" s="31"/>
      <c r="AA25" s="31"/>
      <c r="AB25" s="31"/>
      <c r="AC25" s="31"/>
      <c r="AD25" s="31"/>
      <c r="AE25" s="31"/>
      <c r="AF25" s="31"/>
      <c r="AG25" s="31"/>
      <c r="AH25" s="31"/>
      <c r="AI25" s="31"/>
      <c r="AJ25">
        <f t="shared" si="19"/>
        <v>96</v>
      </c>
      <c r="AK25" s="6">
        <f t="shared" si="4"/>
        <v>0.34005371607556145</v>
      </c>
      <c r="AL25" s="6">
        <f t="shared" si="5"/>
        <v>0.11283618731705691</v>
      </c>
      <c r="AM25" s="6">
        <f t="shared" si="6"/>
        <v>6.4386123489372601E-2</v>
      </c>
      <c r="AN25" s="6">
        <f t="shared" si="7"/>
        <v>0.76535961491697058</v>
      </c>
      <c r="AO25" s="6">
        <f t="shared" si="8"/>
        <v>0.44631839609359841</v>
      </c>
      <c r="AP25" s="6">
        <f t="shared" si="9"/>
        <v>0.34005371607556145</v>
      </c>
      <c r="AQ25" s="6">
        <f t="shared" si="10"/>
        <v>0.76535961491697058</v>
      </c>
      <c r="AR25" s="6">
        <f t="shared" si="11"/>
        <v>0.44631839609359841</v>
      </c>
      <c r="AS25" s="6">
        <f t="shared" si="12"/>
        <v>0.76535961491697058</v>
      </c>
      <c r="AT25" s="6">
        <f t="shared" si="13"/>
        <v>0.5849008992090744</v>
      </c>
      <c r="AU25" s="6">
        <f t="shared" si="14"/>
        <v>0.44631839609359841</v>
      </c>
      <c r="AV25" s="6">
        <f t="shared" si="15"/>
        <v>0.76535961491697058</v>
      </c>
      <c r="AW25" s="6">
        <f t="shared" si="16"/>
        <v>0.76535961491697058</v>
      </c>
      <c r="AX25" s="6">
        <f t="shared" si="17"/>
        <v>0.76188879351033245</v>
      </c>
      <c r="AY25" s="6">
        <f t="shared" si="18"/>
        <v>0.76535961491697058</v>
      </c>
    </row>
    <row r="26" spans="2:51" x14ac:dyDescent="0.25">
      <c r="B26" s="6">
        <f t="shared" si="0"/>
        <v>837</v>
      </c>
      <c r="C26" s="14">
        <v>1</v>
      </c>
      <c r="D26" s="5">
        <v>41026</v>
      </c>
      <c r="E26" s="6" t="s">
        <v>333</v>
      </c>
      <c r="F26" s="33">
        <v>60</v>
      </c>
      <c r="G26" s="31"/>
      <c r="H26" s="31"/>
      <c r="I26" s="31"/>
      <c r="J26" s="31"/>
      <c r="K26" s="31"/>
      <c r="L26" s="6">
        <f t="shared" si="1"/>
        <v>-347.5</v>
      </c>
      <c r="M26" s="6">
        <f t="shared" si="2"/>
        <v>53.620414111826939</v>
      </c>
      <c r="N26" s="31"/>
      <c r="O26" s="31"/>
      <c r="P26" s="31"/>
      <c r="Q26" s="31"/>
      <c r="R26" s="31"/>
      <c r="T26" s="6">
        <f t="shared" si="21"/>
        <v>883</v>
      </c>
      <c r="U26" s="5">
        <v>41073</v>
      </c>
      <c r="V26" s="6" t="s">
        <v>338</v>
      </c>
      <c r="W26" s="33">
        <v>240</v>
      </c>
      <c r="X26" s="31"/>
      <c r="Y26" s="31"/>
      <c r="Z26" s="31"/>
      <c r="AA26" s="31"/>
      <c r="AB26" s="31"/>
      <c r="AC26" s="31"/>
      <c r="AD26" s="31"/>
      <c r="AE26" s="31"/>
      <c r="AF26" s="31"/>
      <c r="AG26" s="31"/>
      <c r="AH26" s="31"/>
      <c r="AI26" s="31"/>
      <c r="AJ26">
        <f t="shared" si="19"/>
        <v>101</v>
      </c>
      <c r="AK26" s="6">
        <f t="shared" si="4"/>
        <v>0.32147629816736722</v>
      </c>
      <c r="AL26" s="6">
        <f t="shared" si="5"/>
        <v>0.10071560304265781</v>
      </c>
      <c r="AM26" s="6">
        <f t="shared" si="6"/>
        <v>5.5814907503523158E-2</v>
      </c>
      <c r="AN26" s="6">
        <f t="shared" si="7"/>
        <v>0.75477389805885875</v>
      </c>
      <c r="AO26" s="6">
        <f t="shared" si="8"/>
        <v>0.42795402996258514</v>
      </c>
      <c r="AP26" s="6">
        <f t="shared" si="9"/>
        <v>0.32147629816736722</v>
      </c>
      <c r="AQ26" s="6">
        <f t="shared" si="10"/>
        <v>0.75477389805885875</v>
      </c>
      <c r="AR26" s="6">
        <f t="shared" si="11"/>
        <v>0.42795402996258514</v>
      </c>
      <c r="AS26" s="6">
        <f t="shared" si="12"/>
        <v>0.75477389805885875</v>
      </c>
      <c r="AT26" s="6">
        <f t="shared" si="13"/>
        <v>0.56878895994784373</v>
      </c>
      <c r="AU26" s="6">
        <f t="shared" si="14"/>
        <v>0.42795402996258514</v>
      </c>
      <c r="AV26" s="6">
        <f t="shared" si="15"/>
        <v>0.75477389805885875</v>
      </c>
      <c r="AW26" s="6">
        <f t="shared" si="16"/>
        <v>0.75477389805885875</v>
      </c>
      <c r="AX26" s="6">
        <f t="shared" si="17"/>
        <v>0.75117323591047869</v>
      </c>
      <c r="AY26" s="6">
        <f t="shared" si="18"/>
        <v>0.75477389805885875</v>
      </c>
    </row>
    <row r="27" spans="2:51" x14ac:dyDescent="0.25">
      <c r="B27" s="6">
        <f t="shared" si="0"/>
        <v>864</v>
      </c>
      <c r="C27" s="14">
        <v>1</v>
      </c>
      <c r="D27" s="5">
        <v>41053</v>
      </c>
      <c r="E27" s="6" t="s">
        <v>333</v>
      </c>
      <c r="F27" s="33">
        <v>60</v>
      </c>
      <c r="G27" s="31"/>
      <c r="H27" s="31"/>
      <c r="I27" s="31"/>
      <c r="J27" s="31"/>
      <c r="K27" s="31"/>
      <c r="L27" s="6">
        <f t="shared" si="1"/>
        <v>-347.5</v>
      </c>
      <c r="M27" s="6">
        <f t="shared" si="2"/>
        <v>53.620414111826939</v>
      </c>
      <c r="N27" s="31"/>
      <c r="O27" s="31"/>
      <c r="P27" s="31"/>
      <c r="Q27" s="31"/>
      <c r="R27" s="31"/>
      <c r="T27" s="6">
        <f t="shared" si="21"/>
        <v>893</v>
      </c>
      <c r="U27" s="5">
        <v>41083</v>
      </c>
      <c r="V27" s="6" t="s">
        <v>338</v>
      </c>
      <c r="W27" s="33">
        <v>60</v>
      </c>
      <c r="X27" s="31"/>
      <c r="Y27" s="31"/>
      <c r="Z27" s="31"/>
      <c r="AA27" s="31"/>
      <c r="AB27" s="31"/>
      <c r="AC27" s="31"/>
      <c r="AD27" s="31"/>
      <c r="AE27" s="31"/>
      <c r="AF27" s="31"/>
      <c r="AG27" s="31"/>
      <c r="AH27" s="31"/>
      <c r="AI27" s="31"/>
      <c r="AJ27">
        <f t="shared" si="19"/>
        <v>106</v>
      </c>
      <c r="AK27" s="6">
        <f t="shared" si="4"/>
        <v>0.30391378008182041</v>
      </c>
      <c r="AL27" s="6">
        <f t="shared" si="5"/>
        <v>8.989698196504782E-2</v>
      </c>
      <c r="AM27" s="6">
        <f t="shared" si="6"/>
        <v>4.8384709791404808E-2</v>
      </c>
      <c r="AN27" s="6">
        <f t="shared" si="7"/>
        <v>0.74433459263821511</v>
      </c>
      <c r="AO27" s="6">
        <f t="shared" si="8"/>
        <v>0.41034529018788096</v>
      </c>
      <c r="AP27" s="6">
        <f t="shared" si="9"/>
        <v>0.30391378008182041</v>
      </c>
      <c r="AQ27" s="6">
        <f t="shared" si="10"/>
        <v>0.74433459263821511</v>
      </c>
      <c r="AR27" s="6">
        <f t="shared" si="11"/>
        <v>0.41034529018788096</v>
      </c>
      <c r="AS27" s="6">
        <f t="shared" si="12"/>
        <v>0.74433459263821511</v>
      </c>
      <c r="AT27" s="6">
        <f t="shared" si="13"/>
        <v>0.5531208473025554</v>
      </c>
      <c r="AU27" s="6">
        <f t="shared" si="14"/>
        <v>0.41034529018788096</v>
      </c>
      <c r="AV27" s="6">
        <f t="shared" si="15"/>
        <v>0.74433459263821511</v>
      </c>
      <c r="AW27" s="6">
        <f t="shared" si="16"/>
        <v>0.74433459263821511</v>
      </c>
      <c r="AX27" s="6">
        <f t="shared" si="17"/>
        <v>0.74060838688601527</v>
      </c>
      <c r="AY27" s="6">
        <f t="shared" si="18"/>
        <v>0.74433459263821511</v>
      </c>
    </row>
    <row r="28" spans="2:51" x14ac:dyDescent="0.25">
      <c r="B28" s="6">
        <f t="shared" si="0"/>
        <v>879</v>
      </c>
      <c r="C28" s="14">
        <v>1</v>
      </c>
      <c r="D28" s="5">
        <v>41069</v>
      </c>
      <c r="E28" s="6" t="s">
        <v>333</v>
      </c>
      <c r="F28" s="33">
        <v>60</v>
      </c>
      <c r="G28" s="31"/>
      <c r="H28" s="31"/>
      <c r="I28" s="31"/>
      <c r="J28" s="31"/>
      <c r="K28" s="31"/>
      <c r="L28" s="6">
        <f t="shared" si="1"/>
        <v>-347.5</v>
      </c>
      <c r="M28" s="6">
        <f t="shared" si="2"/>
        <v>53.620414111826939</v>
      </c>
      <c r="N28" s="31"/>
      <c r="O28" s="31"/>
      <c r="P28" s="31"/>
      <c r="Q28" s="31"/>
      <c r="R28" s="31"/>
      <c r="T28" s="6">
        <f t="shared" si="21"/>
        <v>1001</v>
      </c>
      <c r="U28" s="5">
        <v>41193</v>
      </c>
      <c r="V28" s="6" t="s">
        <v>338</v>
      </c>
      <c r="W28" s="33">
        <v>120</v>
      </c>
      <c r="X28" s="31"/>
      <c r="Y28" s="31"/>
      <c r="Z28" s="31"/>
      <c r="AA28" s="31"/>
      <c r="AB28" s="31"/>
      <c r="AC28" s="31"/>
      <c r="AD28" s="31"/>
      <c r="AE28" s="31"/>
      <c r="AF28" s="31"/>
      <c r="AG28" s="31"/>
      <c r="AH28" s="31"/>
      <c r="AI28" s="31"/>
      <c r="AJ28">
        <f t="shared" si="19"/>
        <v>111</v>
      </c>
      <c r="AK28" s="6">
        <f t="shared" si="4"/>
        <v>0.28731071699579769</v>
      </c>
      <c r="AL28" s="6">
        <f t="shared" si="5"/>
        <v>8.0240470416497942E-2</v>
      </c>
      <c r="AM28" s="6">
        <f t="shared" si="6"/>
        <v>4.1943635603995055E-2</v>
      </c>
      <c r="AN28" s="6">
        <f t="shared" si="7"/>
        <v>0.73403967363308709</v>
      </c>
      <c r="AO28" s="6">
        <f t="shared" si="8"/>
        <v>0.39346108551448272</v>
      </c>
      <c r="AP28" s="6">
        <f t="shared" si="9"/>
        <v>0.28731071699579769</v>
      </c>
      <c r="AQ28" s="6">
        <f t="shared" si="10"/>
        <v>0.73403967363308709</v>
      </c>
      <c r="AR28" s="6">
        <f t="shared" si="11"/>
        <v>0.39346108551448272</v>
      </c>
      <c r="AS28" s="6">
        <f t="shared" si="12"/>
        <v>0.73403967363308709</v>
      </c>
      <c r="AT28" s="6">
        <f t="shared" si="13"/>
        <v>0.53788433542864633</v>
      </c>
      <c r="AU28" s="6">
        <f t="shared" si="14"/>
        <v>0.39346108551448272</v>
      </c>
      <c r="AV28" s="6">
        <f t="shared" si="15"/>
        <v>0.73403967363308709</v>
      </c>
      <c r="AW28" s="6">
        <f t="shared" si="16"/>
        <v>0.73403967363308709</v>
      </c>
      <c r="AX28" s="6">
        <f t="shared" si="17"/>
        <v>0.73019212680159096</v>
      </c>
      <c r="AY28" s="6">
        <f t="shared" si="18"/>
        <v>0.73403967363308709</v>
      </c>
    </row>
    <row r="29" spans="2:51" x14ac:dyDescent="0.25">
      <c r="B29" s="6">
        <f t="shared" si="0"/>
        <v>883</v>
      </c>
      <c r="C29" s="14">
        <v>1</v>
      </c>
      <c r="D29" s="5">
        <v>41073</v>
      </c>
      <c r="E29" s="6" t="s">
        <v>333</v>
      </c>
      <c r="F29" s="33">
        <v>240</v>
      </c>
      <c r="G29" s="31"/>
      <c r="H29" s="31"/>
      <c r="I29" s="31"/>
      <c r="J29" s="31"/>
      <c r="K29" s="31"/>
      <c r="L29" s="6">
        <f t="shared" si="1"/>
        <v>-167.5</v>
      </c>
      <c r="M29" s="6">
        <f t="shared" si="2"/>
        <v>25.845811118650396</v>
      </c>
      <c r="N29" s="31"/>
      <c r="O29" s="31"/>
      <c r="P29" s="31"/>
      <c r="Q29" s="31"/>
      <c r="R29" s="31"/>
      <c r="T29" s="6">
        <f t="shared" si="21"/>
        <v>1023</v>
      </c>
      <c r="U29" s="5">
        <v>41216</v>
      </c>
      <c r="V29" s="6" t="s">
        <v>338</v>
      </c>
      <c r="W29" s="33">
        <v>30</v>
      </c>
      <c r="X29" s="6">
        <f>COUNT(W20:W29)</f>
        <v>10</v>
      </c>
      <c r="Y29" s="6">
        <f>SUM(W20:W29)</f>
        <v>1080</v>
      </c>
      <c r="Z29" s="6">
        <f>($F$51-Y29)/X29</f>
        <v>51732</v>
      </c>
      <c r="AA29" s="6">
        <f>INT(Z29/60/24)</f>
        <v>35</v>
      </c>
      <c r="AB29" s="6">
        <f>Y29/X29</f>
        <v>108</v>
      </c>
      <c r="AC29" s="6">
        <f>Y29-W30</f>
        <v>972</v>
      </c>
      <c r="AD29" s="33">
        <f>SQRT((AC29*AC29)/COUNT(W20:W29))</f>
        <v>307.37338856836647</v>
      </c>
      <c r="AE29" s="6">
        <f>1/AA29</f>
        <v>2.8571428571428571E-2</v>
      </c>
      <c r="AF29" s="6">
        <f>AE29*EXP(-AE29*(365*1))</f>
        <v>8.4500821304140699E-7</v>
      </c>
      <c r="AG29" s="6">
        <f>1-EXP(-AE29*(365*1))</f>
        <v>0.9999704247125436</v>
      </c>
      <c r="AH29" s="6">
        <f>EXP(-AE29*(365*1))</f>
        <v>2.9575287456449246E-5</v>
      </c>
      <c r="AI29" s="6">
        <f>$F$51/(Y29+$F$51)*100</f>
        <v>99.792099792099805</v>
      </c>
      <c r="AJ29">
        <f t="shared" si="19"/>
        <v>116</v>
      </c>
      <c r="AK29" s="6">
        <f t="shared" si="4"/>
        <v>0.27161469308307018</v>
      </c>
      <c r="AL29" s="6">
        <f t="shared" si="5"/>
        <v>7.1621237464503551E-2</v>
      </c>
      <c r="AM29" s="6">
        <f t="shared" si="6"/>
        <v>3.6360010740278177E-2</v>
      </c>
      <c r="AN29" s="6">
        <f t="shared" si="7"/>
        <v>0.7238871440296748</v>
      </c>
      <c r="AO29" s="6">
        <f t="shared" si="8"/>
        <v>0.37727160397857362</v>
      </c>
      <c r="AP29" s="6">
        <f t="shared" si="9"/>
        <v>0.27161469308307018</v>
      </c>
      <c r="AQ29" s="6">
        <f t="shared" si="10"/>
        <v>0.7238871440296748</v>
      </c>
      <c r="AR29" s="6">
        <f t="shared" si="11"/>
        <v>0.37727160397857362</v>
      </c>
      <c r="AS29" s="6">
        <f t="shared" si="12"/>
        <v>0.7238871440296748</v>
      </c>
      <c r="AT29" s="6">
        <f t="shared" si="13"/>
        <v>0.52306753526008321</v>
      </c>
      <c r="AU29" s="6">
        <f t="shared" si="14"/>
        <v>0.37727160397857362</v>
      </c>
      <c r="AV29" s="6">
        <f t="shared" si="15"/>
        <v>0.7238871440296748</v>
      </c>
      <c r="AW29" s="6">
        <f t="shared" si="16"/>
        <v>0.7238871440296748</v>
      </c>
      <c r="AX29" s="6">
        <f t="shared" si="17"/>
        <v>0.71992236583338987</v>
      </c>
      <c r="AY29" s="6">
        <f t="shared" si="18"/>
        <v>0.7238871440296748</v>
      </c>
    </row>
    <row r="30" spans="2:51" x14ac:dyDescent="0.25">
      <c r="B30" s="6">
        <f t="shared" si="0"/>
        <v>891</v>
      </c>
      <c r="C30" s="14">
        <v>1</v>
      </c>
      <c r="D30" s="5">
        <v>41081</v>
      </c>
      <c r="E30" s="6" t="s">
        <v>333</v>
      </c>
      <c r="F30" s="33">
        <v>60</v>
      </c>
      <c r="G30" s="31"/>
      <c r="H30" s="31"/>
      <c r="I30" s="31"/>
      <c r="J30" s="31"/>
      <c r="K30" s="31"/>
      <c r="L30" s="6">
        <f t="shared" si="1"/>
        <v>-347.5</v>
      </c>
      <c r="M30" s="6">
        <f t="shared" si="2"/>
        <v>53.620414111826939</v>
      </c>
      <c r="N30" s="31"/>
      <c r="O30" s="31"/>
      <c r="P30" s="31"/>
      <c r="Q30" s="31"/>
      <c r="R30" s="31"/>
      <c r="T30" s="31"/>
      <c r="U30" s="31"/>
      <c r="V30" s="43" t="s">
        <v>235</v>
      </c>
      <c r="W30" s="6">
        <f>AVERAGE(W20:W29)</f>
        <v>108</v>
      </c>
      <c r="X30" s="31"/>
      <c r="Y30" s="31"/>
      <c r="Z30" s="31"/>
      <c r="AA30" s="31"/>
      <c r="AB30" s="31"/>
      <c r="AC30" s="31"/>
      <c r="AD30" s="31"/>
      <c r="AE30" s="31"/>
      <c r="AF30" s="31"/>
      <c r="AG30" s="31"/>
      <c r="AH30" s="31"/>
      <c r="AI30" s="31"/>
      <c r="AJ30">
        <f t="shared" si="19"/>
        <v>121</v>
      </c>
      <c r="AK30" s="6">
        <f t="shared" si="4"/>
        <v>0.25677615603767917</v>
      </c>
      <c r="AL30" s="6">
        <f t="shared" si="5"/>
        <v>6.392786120670757E-2</v>
      </c>
      <c r="AM30" s="6">
        <f t="shared" si="6"/>
        <v>3.1519689745426391E-2</v>
      </c>
      <c r="AN30" s="6">
        <f t="shared" si="7"/>
        <v>0.7138750344349496</v>
      </c>
      <c r="AO30" s="6">
        <f t="shared" si="8"/>
        <v>0.36174826026937951</v>
      </c>
      <c r="AP30" s="6">
        <f t="shared" si="9"/>
        <v>0.25677615603767917</v>
      </c>
      <c r="AQ30" s="6">
        <f t="shared" si="10"/>
        <v>0.7138750344349496</v>
      </c>
      <c r="AR30" s="6">
        <f t="shared" si="11"/>
        <v>0.36174826026937951</v>
      </c>
      <c r="AS30" s="6">
        <f t="shared" si="12"/>
        <v>0.7138750344349496</v>
      </c>
      <c r="AT30" s="6">
        <f t="shared" si="13"/>
        <v>0.50865888523231229</v>
      </c>
      <c r="AU30" s="6">
        <f t="shared" si="14"/>
        <v>0.36174826026937951</v>
      </c>
      <c r="AV30" s="6">
        <f t="shared" si="15"/>
        <v>0.7138750344349496</v>
      </c>
      <c r="AW30" s="6">
        <f t="shared" si="16"/>
        <v>0.7138750344349496</v>
      </c>
      <c r="AX30" s="6">
        <f t="shared" si="17"/>
        <v>0.70979704354984841</v>
      </c>
      <c r="AY30" s="6">
        <f t="shared" si="18"/>
        <v>0.7138750344349496</v>
      </c>
    </row>
    <row r="31" spans="2:51" x14ac:dyDescent="0.25">
      <c r="B31" s="6">
        <f t="shared" si="0"/>
        <v>893</v>
      </c>
      <c r="C31" s="14">
        <v>1</v>
      </c>
      <c r="D31" s="5">
        <v>41083</v>
      </c>
      <c r="E31" s="6" t="s">
        <v>333</v>
      </c>
      <c r="F31" s="33">
        <v>60</v>
      </c>
      <c r="G31" s="31"/>
      <c r="H31" s="31"/>
      <c r="I31" s="31"/>
      <c r="J31" s="31"/>
      <c r="K31" s="31"/>
      <c r="L31" s="6">
        <f t="shared" si="1"/>
        <v>-347.5</v>
      </c>
      <c r="M31" s="6">
        <f t="shared" si="2"/>
        <v>53.620414111826939</v>
      </c>
      <c r="N31" s="31"/>
      <c r="O31" s="31"/>
      <c r="P31" s="31"/>
      <c r="Q31" s="31"/>
      <c r="R31" s="31"/>
      <c r="T31" s="6">
        <f>DAYS360("31-12-2009",U31)</f>
        <v>1216</v>
      </c>
      <c r="U31" s="5">
        <v>41410</v>
      </c>
      <c r="V31" s="6" t="s">
        <v>338</v>
      </c>
      <c r="W31" s="33">
        <v>120</v>
      </c>
      <c r="X31" s="6">
        <f>COUNT(W31)</f>
        <v>1</v>
      </c>
      <c r="Y31" s="6">
        <f>SUM(W31)</f>
        <v>120</v>
      </c>
      <c r="Z31" s="6">
        <f>($F$51-Y31)/X31</f>
        <v>518280</v>
      </c>
      <c r="AA31" s="6">
        <f>INT(Z31/60/24)</f>
        <v>359</v>
      </c>
      <c r="AB31" s="6">
        <f>Y31/X31</f>
        <v>120</v>
      </c>
      <c r="AC31" s="6">
        <f>Y31-W32</f>
        <v>0</v>
      </c>
      <c r="AD31" s="33">
        <f>SQRT((AC31*AC31)/COUNT(W31))</f>
        <v>0</v>
      </c>
      <c r="AE31" s="6">
        <f>1/AA31</f>
        <v>2.7855153203342618E-3</v>
      </c>
      <c r="AF31" s="6">
        <f>AE31*EXP(-AE31*(365*1))</f>
        <v>1.007749673042332E-3</v>
      </c>
      <c r="AG31" s="6">
        <f>1-EXP(-AE31*(365*1))</f>
        <v>0.63821786737780273</v>
      </c>
      <c r="AH31" s="6">
        <f>EXP(-AE31*(365*1))</f>
        <v>0.36178213262219722</v>
      </c>
      <c r="AI31" s="6">
        <f>$F$51/(Y31+$F$51)*100</f>
        <v>99.976857208979411</v>
      </c>
      <c r="AJ31">
        <f t="shared" si="19"/>
        <v>126</v>
      </c>
      <c r="AK31" s="6">
        <f t="shared" si="4"/>
        <v>0.24274826063743693</v>
      </c>
      <c r="AL31" s="6">
        <f t="shared" si="5"/>
        <v>5.7060888406033558E-2</v>
      </c>
      <c r="AM31" s="6">
        <f t="shared" si="6"/>
        <v>2.7323722447292559E-2</v>
      </c>
      <c r="AN31" s="6">
        <f t="shared" si="7"/>
        <v>0.70400140269462974</v>
      </c>
      <c r="AO31" s="6">
        <f t="shared" si="8"/>
        <v>0.34686364525689234</v>
      </c>
      <c r="AP31" s="6">
        <f t="shared" si="9"/>
        <v>0.24274826063743693</v>
      </c>
      <c r="AQ31" s="6">
        <f t="shared" si="10"/>
        <v>0.70400140269462974</v>
      </c>
      <c r="AR31" s="6">
        <f t="shared" si="11"/>
        <v>0.34686364525689234</v>
      </c>
      <c r="AS31" s="6">
        <f t="shared" si="12"/>
        <v>0.70400140269462974</v>
      </c>
      <c r="AT31" s="6">
        <f t="shared" si="13"/>
        <v>0.4946471422607584</v>
      </c>
      <c r="AU31" s="6">
        <f t="shared" si="14"/>
        <v>0.34686364525689234</v>
      </c>
      <c r="AV31" s="6">
        <f t="shared" si="15"/>
        <v>0.70400140269462974</v>
      </c>
      <c r="AW31" s="6">
        <f t="shared" si="16"/>
        <v>0.70400140269462974</v>
      </c>
      <c r="AX31" s="6">
        <f t="shared" si="17"/>
        <v>0.69981412849826852</v>
      </c>
      <c r="AY31" s="6">
        <f t="shared" si="18"/>
        <v>0.70400140269462974</v>
      </c>
    </row>
    <row r="32" spans="2:51" x14ac:dyDescent="0.25">
      <c r="B32" s="6">
        <f t="shared" si="0"/>
        <v>999</v>
      </c>
      <c r="C32" s="14">
        <v>1</v>
      </c>
      <c r="D32" s="5">
        <v>41191</v>
      </c>
      <c r="E32" s="6" t="s">
        <v>333</v>
      </c>
      <c r="F32" s="33">
        <v>120</v>
      </c>
      <c r="G32" s="31"/>
      <c r="H32" s="31"/>
      <c r="I32" s="31"/>
      <c r="J32" s="31"/>
      <c r="K32" s="31"/>
      <c r="L32" s="6">
        <f t="shared" si="1"/>
        <v>-287.5</v>
      </c>
      <c r="M32" s="6">
        <f t="shared" si="2"/>
        <v>44.362213114101422</v>
      </c>
      <c r="N32" s="31"/>
      <c r="O32" s="31"/>
      <c r="P32" s="31"/>
      <c r="Q32" s="31"/>
      <c r="R32" s="31"/>
      <c r="T32" s="31"/>
      <c r="U32" s="31"/>
      <c r="V32" s="43" t="s">
        <v>235</v>
      </c>
      <c r="W32" s="6">
        <f>AVERAGE(W31)</f>
        <v>120</v>
      </c>
      <c r="X32" s="31"/>
      <c r="Y32" s="31"/>
      <c r="Z32" s="31"/>
      <c r="AA32" s="31"/>
      <c r="AB32" s="31"/>
      <c r="AC32" s="31"/>
      <c r="AD32" s="31"/>
      <c r="AE32" s="31"/>
      <c r="AF32" s="31"/>
      <c r="AG32" s="31"/>
      <c r="AH32" s="31"/>
      <c r="AI32" s="31"/>
      <c r="AJ32">
        <f t="shared" si="19"/>
        <v>131</v>
      </c>
      <c r="AK32" s="6">
        <f t="shared" si="4"/>
        <v>0.22948672085368443</v>
      </c>
      <c r="AL32" s="6">
        <f t="shared" si="5"/>
        <v>5.0931548846251527E-2</v>
      </c>
      <c r="AM32" s="6">
        <f t="shared" si="6"/>
        <v>2.3686331128465868E-2</v>
      </c>
      <c r="AN32" s="6">
        <f t="shared" si="7"/>
        <v>0.69426433351644024</v>
      </c>
      <c r="AO32" s="6">
        <f t="shared" si="8"/>
        <v>0.33259147759634267</v>
      </c>
      <c r="AP32" s="6">
        <f t="shared" si="9"/>
        <v>0.22948672085368443</v>
      </c>
      <c r="AQ32" s="6">
        <f t="shared" si="10"/>
        <v>0.69426433351644024</v>
      </c>
      <c r="AR32" s="6">
        <f t="shared" si="11"/>
        <v>0.33259147759634267</v>
      </c>
      <c r="AS32" s="6">
        <f t="shared" si="12"/>
        <v>0.69426433351644024</v>
      </c>
      <c r="AT32" s="6">
        <f t="shared" si="13"/>
        <v>0.48102137296783437</v>
      </c>
      <c r="AU32" s="6">
        <f t="shared" si="14"/>
        <v>0.33259147759634267</v>
      </c>
      <c r="AV32" s="6">
        <f t="shared" si="15"/>
        <v>0.69426433351644024</v>
      </c>
      <c r="AW32" s="6">
        <f t="shared" si="16"/>
        <v>0.69426433351644024</v>
      </c>
      <c r="AX32" s="6">
        <f t="shared" si="17"/>
        <v>0.68997161779724592</v>
      </c>
      <c r="AY32" s="6">
        <f t="shared" si="18"/>
        <v>0.69426433351644024</v>
      </c>
    </row>
    <row r="33" spans="2:51" x14ac:dyDescent="0.25">
      <c r="B33" s="6">
        <f t="shared" si="0"/>
        <v>1001</v>
      </c>
      <c r="C33" s="14">
        <v>1</v>
      </c>
      <c r="D33" s="5">
        <v>41193</v>
      </c>
      <c r="E33" s="6" t="s">
        <v>333</v>
      </c>
      <c r="F33" s="33">
        <v>120</v>
      </c>
      <c r="G33" s="31"/>
      <c r="H33" s="31"/>
      <c r="I33" s="31"/>
      <c r="J33" s="31"/>
      <c r="K33" s="31"/>
      <c r="L33" s="6">
        <f t="shared" si="1"/>
        <v>-287.5</v>
      </c>
      <c r="M33" s="6">
        <f t="shared" si="2"/>
        <v>44.362213114101422</v>
      </c>
      <c r="N33" s="31"/>
      <c r="O33" s="31"/>
      <c r="P33" s="31"/>
      <c r="Q33" s="31"/>
      <c r="R33" s="31"/>
      <c r="T33" s="6">
        <f>DAYS360("31-12-2009",U33)</f>
        <v>1460</v>
      </c>
      <c r="U33" s="5">
        <v>41659</v>
      </c>
      <c r="V33" s="6" t="s">
        <v>338</v>
      </c>
      <c r="W33" s="33">
        <f>8*60</f>
        <v>480</v>
      </c>
      <c r="X33" s="31"/>
      <c r="Y33" s="31"/>
      <c r="Z33" s="31"/>
      <c r="AA33" s="31"/>
      <c r="AB33" s="31"/>
      <c r="AC33" s="31"/>
      <c r="AD33" s="31"/>
      <c r="AE33" s="31"/>
      <c r="AF33" s="31"/>
      <c r="AG33" s="31"/>
      <c r="AH33" s="31"/>
      <c r="AI33" s="31"/>
      <c r="AJ33">
        <f t="shared" si="19"/>
        <v>136</v>
      </c>
      <c r="AK33" s="6">
        <f t="shared" si="4"/>
        <v>0.21694967004041621</v>
      </c>
      <c r="AL33" s="6">
        <f t="shared" si="5"/>
        <v>4.5460607788290537E-2</v>
      </c>
      <c r="AM33" s="6">
        <f t="shared" si="6"/>
        <v>2.0533156981431842E-2</v>
      </c>
      <c r="AN33" s="6">
        <f t="shared" si="7"/>
        <v>0.68466193809858422</v>
      </c>
      <c r="AO33" s="6">
        <f t="shared" si="8"/>
        <v>0.31890655732397044</v>
      </c>
      <c r="AP33" s="6">
        <f t="shared" si="9"/>
        <v>0.21694967004041621</v>
      </c>
      <c r="AQ33" s="6">
        <f t="shared" si="10"/>
        <v>0.68466193809858422</v>
      </c>
      <c r="AR33" s="6">
        <f t="shared" si="11"/>
        <v>0.31890655732397044</v>
      </c>
      <c r="AS33" s="6">
        <f t="shared" si="12"/>
        <v>0.68466193809858422</v>
      </c>
      <c r="AT33" s="6">
        <f t="shared" si="13"/>
        <v>0.46777094515161527</v>
      </c>
      <c r="AU33" s="6">
        <f t="shared" si="14"/>
        <v>0.31890655732397044</v>
      </c>
      <c r="AV33" s="6">
        <f t="shared" si="15"/>
        <v>0.68466193809858422</v>
      </c>
      <c r="AW33" s="6">
        <f t="shared" si="16"/>
        <v>0.68466193809858422</v>
      </c>
      <c r="AX33" s="6">
        <f t="shared" si="17"/>
        <v>0.68026753673482976</v>
      </c>
      <c r="AY33" s="6">
        <f t="shared" si="18"/>
        <v>0.68466193809858422</v>
      </c>
    </row>
    <row r="34" spans="2:51" x14ac:dyDescent="0.25">
      <c r="B34" s="6">
        <f t="shared" si="0"/>
        <v>1013</v>
      </c>
      <c r="C34" s="14">
        <v>1</v>
      </c>
      <c r="D34" s="5">
        <v>41205</v>
      </c>
      <c r="E34" s="6" t="s">
        <v>333</v>
      </c>
      <c r="F34" s="33">
        <v>120</v>
      </c>
      <c r="G34" s="31"/>
      <c r="H34" s="31"/>
      <c r="I34" s="31"/>
      <c r="J34" s="31"/>
      <c r="K34" s="31"/>
      <c r="L34" s="6">
        <f t="shared" si="1"/>
        <v>-287.5</v>
      </c>
      <c r="M34" s="6">
        <f t="shared" si="2"/>
        <v>44.362213114101422</v>
      </c>
      <c r="N34" s="31"/>
      <c r="O34" s="31"/>
      <c r="P34" s="31"/>
      <c r="Q34" s="31"/>
      <c r="R34" s="31"/>
      <c r="T34" s="6">
        <f>DAYS360("31-12-2009",U34)</f>
        <v>1579</v>
      </c>
      <c r="U34" s="5">
        <v>41778</v>
      </c>
      <c r="V34" s="6" t="s">
        <v>338</v>
      </c>
      <c r="W34" s="33">
        <v>180</v>
      </c>
      <c r="X34" s="31"/>
      <c r="Y34" s="31"/>
      <c r="Z34" s="31"/>
      <c r="AA34" s="31"/>
      <c r="AB34" s="31"/>
      <c r="AC34" s="31"/>
      <c r="AD34" s="31"/>
      <c r="AE34" s="31"/>
      <c r="AF34" s="31"/>
      <c r="AG34" s="31"/>
      <c r="AH34" s="31"/>
      <c r="AI34" s="31"/>
      <c r="AJ34">
        <f t="shared" si="19"/>
        <v>141</v>
      </c>
      <c r="AK34" s="6">
        <f t="shared" si="4"/>
        <v>0.20509752876138934</v>
      </c>
      <c r="AL34" s="6">
        <f t="shared" si="5"/>
        <v>4.0577341692856927E-2</v>
      </c>
      <c r="AM34" s="6">
        <f t="shared" si="6"/>
        <v>1.7799739999304415E-2</v>
      </c>
      <c r="AN34" s="6">
        <f t="shared" si="7"/>
        <v>0.67519235376335118</v>
      </c>
      <c r="AO34" s="6">
        <f t="shared" si="8"/>
        <v>0.30578472136216034</v>
      </c>
      <c r="AP34" s="6">
        <f t="shared" si="9"/>
        <v>0.20509752876138934</v>
      </c>
      <c r="AQ34" s="6">
        <f t="shared" si="10"/>
        <v>0.67519235376335118</v>
      </c>
      <c r="AR34" s="6">
        <f t="shared" si="11"/>
        <v>0.30578472136216034</v>
      </c>
      <c r="AS34" s="6">
        <f t="shared" si="12"/>
        <v>0.67519235376335118</v>
      </c>
      <c r="AT34" s="6">
        <f t="shared" si="13"/>
        <v>0.45488551948951989</v>
      </c>
      <c r="AU34" s="6">
        <f t="shared" si="14"/>
        <v>0.30578472136216034</v>
      </c>
      <c r="AV34" s="6">
        <f t="shared" si="15"/>
        <v>0.67519235376335118</v>
      </c>
      <c r="AW34" s="6">
        <f t="shared" si="16"/>
        <v>0.67519235376335118</v>
      </c>
      <c r="AX34" s="6">
        <f t="shared" si="17"/>
        <v>0.67069993837233488</v>
      </c>
      <c r="AY34" s="6">
        <f t="shared" si="18"/>
        <v>0.67519235376335118</v>
      </c>
    </row>
    <row r="35" spans="2:51" x14ac:dyDescent="0.25">
      <c r="B35" s="6">
        <f t="shared" si="0"/>
        <v>1023</v>
      </c>
      <c r="C35" s="14">
        <v>1</v>
      </c>
      <c r="D35" s="5">
        <v>41216</v>
      </c>
      <c r="E35" s="6" t="s">
        <v>333</v>
      </c>
      <c r="F35" s="33">
        <v>30</v>
      </c>
      <c r="G35" s="31"/>
      <c r="H35" s="31"/>
      <c r="I35" s="31"/>
      <c r="J35" s="31"/>
      <c r="K35" s="31"/>
      <c r="L35" s="6">
        <f t="shared" si="1"/>
        <v>-377.5</v>
      </c>
      <c r="M35" s="6">
        <f t="shared" si="2"/>
        <v>58.249514610689694</v>
      </c>
      <c r="N35" s="31"/>
      <c r="O35" s="31"/>
      <c r="P35" s="31"/>
      <c r="Q35" s="31"/>
      <c r="R35" s="31"/>
      <c r="T35" s="6">
        <f>DAYS360("31-12-2009",U35)</f>
        <v>1696</v>
      </c>
      <c r="U35" s="5">
        <v>41898</v>
      </c>
      <c r="V35" s="6" t="s">
        <v>338</v>
      </c>
      <c r="W35" s="33">
        <v>120</v>
      </c>
      <c r="X35" s="6">
        <f>COUNT(W33:W35)</f>
        <v>3</v>
      </c>
      <c r="Y35" s="6">
        <f>SUM(W33:W35)</f>
        <v>780</v>
      </c>
      <c r="Z35" s="6">
        <f>($F$51-Y35)/X35</f>
        <v>172540</v>
      </c>
      <c r="AA35" s="6">
        <f>INT(Z35/60/24)</f>
        <v>119</v>
      </c>
      <c r="AB35" s="6">
        <f>Y35/X35</f>
        <v>260</v>
      </c>
      <c r="AC35" s="6">
        <f>Y35-W36</f>
        <v>520</v>
      </c>
      <c r="AD35" s="33">
        <f>SQRT((AC35*AC35)/COUNT(W33:W35))</f>
        <v>300.22213997860541</v>
      </c>
      <c r="AE35" s="6">
        <f>1/AA35</f>
        <v>8.4033613445378148E-3</v>
      </c>
      <c r="AF35" s="6">
        <f>AE35*EXP(-AE35*(365*1))</f>
        <v>3.9117701217351283E-4</v>
      </c>
      <c r="AG35" s="6">
        <f>1-EXP(-AE35*(365*1))</f>
        <v>0.95344993555135193</v>
      </c>
      <c r="AH35" s="6">
        <f>EXP(-AE35*(365*1))</f>
        <v>4.6550064448648031E-2</v>
      </c>
      <c r="AI35" s="6">
        <f>$F$51/(Y35+$F$51)*100</f>
        <v>99.849763087946371</v>
      </c>
      <c r="AJ35">
        <f t="shared" si="19"/>
        <v>146</v>
      </c>
      <c r="AK35" s="6">
        <f t="shared" si="4"/>
        <v>0.19389287983794812</v>
      </c>
      <c r="AL35" s="6">
        <f t="shared" si="5"/>
        <v>3.6218623968396785E-2</v>
      </c>
      <c r="AM35" s="6">
        <f t="shared" si="6"/>
        <v>1.5430201226696305E-2</v>
      </c>
      <c r="AN35" s="6">
        <f t="shared" si="7"/>
        <v>0.66585374359579441</v>
      </c>
      <c r="AO35" s="6">
        <f t="shared" si="8"/>
        <v>0.29320280085537731</v>
      </c>
      <c r="AP35" s="6">
        <f t="shared" si="9"/>
        <v>0.19389287983794812</v>
      </c>
      <c r="AQ35" s="6">
        <f t="shared" si="10"/>
        <v>0.66585374359579441</v>
      </c>
      <c r="AR35" s="6">
        <f t="shared" si="11"/>
        <v>0.29320280085537731</v>
      </c>
      <c r="AS35" s="6">
        <f t="shared" si="12"/>
        <v>0.66585374359579441</v>
      </c>
      <c r="AT35" s="6">
        <f t="shared" si="13"/>
        <v>0.44235504147052696</v>
      </c>
      <c r="AU35" s="6">
        <f t="shared" si="14"/>
        <v>0.29320280085537731</v>
      </c>
      <c r="AV35" s="6">
        <f t="shared" si="15"/>
        <v>0.66585374359579441</v>
      </c>
      <c r="AW35" s="6">
        <f t="shared" si="16"/>
        <v>0.66585374359579441</v>
      </c>
      <c r="AX35" s="6">
        <f t="shared" si="17"/>
        <v>0.66126690315372494</v>
      </c>
      <c r="AY35" s="6">
        <f t="shared" si="18"/>
        <v>0.66585374359579441</v>
      </c>
    </row>
    <row r="36" spans="2:51" x14ac:dyDescent="0.25">
      <c r="B36" s="6">
        <f t="shared" si="0"/>
        <v>1216</v>
      </c>
      <c r="C36" s="10">
        <v>1</v>
      </c>
      <c r="D36" s="5">
        <v>41410</v>
      </c>
      <c r="E36" s="6" t="s">
        <v>333</v>
      </c>
      <c r="F36" s="33">
        <v>120</v>
      </c>
      <c r="G36" s="31"/>
      <c r="H36" s="31"/>
      <c r="I36" s="31"/>
      <c r="J36" s="31"/>
      <c r="K36" s="31"/>
      <c r="L36" s="6">
        <f t="shared" si="1"/>
        <v>-287.5</v>
      </c>
      <c r="M36" s="6">
        <f t="shared" si="2"/>
        <v>44.362213114101422</v>
      </c>
      <c r="N36" s="31"/>
      <c r="O36" s="31"/>
      <c r="P36" s="31"/>
      <c r="Q36" s="31"/>
      <c r="R36" s="31"/>
      <c r="T36" s="31"/>
      <c r="U36" s="31"/>
      <c r="V36" s="43" t="s">
        <v>235</v>
      </c>
      <c r="W36" s="6">
        <f>AVERAGE(W33:W35)</f>
        <v>260</v>
      </c>
      <c r="X36" s="31"/>
      <c r="Y36" s="31"/>
      <c r="Z36" s="31"/>
      <c r="AA36" s="31"/>
      <c r="AB36" s="31"/>
      <c r="AC36" s="31"/>
      <c r="AD36" s="31"/>
      <c r="AE36" s="31"/>
      <c r="AF36" s="31"/>
      <c r="AG36" s="31"/>
      <c r="AH36" s="31"/>
      <c r="AI36" s="31"/>
      <c r="AJ36">
        <f t="shared" si="19"/>
        <v>151</v>
      </c>
      <c r="AK36" s="6">
        <f t="shared" si="4"/>
        <v>0.1833003502230903</v>
      </c>
      <c r="AL36" s="6">
        <f t="shared" si="5"/>
        <v>3.2328108925751733E-2</v>
      </c>
      <c r="AM36" s="6">
        <f t="shared" si="6"/>
        <v>1.3376100432121176E-2</v>
      </c>
      <c r="AN36" s="6">
        <f t="shared" si="7"/>
        <v>0.65664429608740515</v>
      </c>
      <c r="AO36" s="6">
        <f t="shared" si="8"/>
        <v>0.28113858026157157</v>
      </c>
      <c r="AP36" s="6">
        <f t="shared" si="9"/>
        <v>0.1833003502230903</v>
      </c>
      <c r="AQ36" s="6">
        <f t="shared" si="10"/>
        <v>0.65664429608740515</v>
      </c>
      <c r="AR36" s="6">
        <f t="shared" si="11"/>
        <v>0.28113858026157157</v>
      </c>
      <c r="AS36" s="6">
        <f t="shared" si="12"/>
        <v>0.65664429608740515</v>
      </c>
      <c r="AT36" s="6">
        <f t="shared" si="13"/>
        <v>0.43016973354962967</v>
      </c>
      <c r="AU36" s="6">
        <f t="shared" si="14"/>
        <v>0.28113858026157157</v>
      </c>
      <c r="AV36" s="6">
        <f t="shared" si="15"/>
        <v>0.65664429608740515</v>
      </c>
      <c r="AW36" s="6">
        <f t="shared" si="16"/>
        <v>0.65664429608740515</v>
      </c>
      <c r="AX36" s="6">
        <f t="shared" si="17"/>
        <v>0.65196653852049113</v>
      </c>
      <c r="AY36" s="6">
        <f t="shared" si="18"/>
        <v>0.65664429608740515</v>
      </c>
    </row>
    <row r="37" spans="2:51" x14ac:dyDescent="0.25">
      <c r="B37" s="6">
        <f t="shared" si="0"/>
        <v>1228</v>
      </c>
      <c r="C37" s="10">
        <v>1</v>
      </c>
      <c r="D37" s="5">
        <v>41422</v>
      </c>
      <c r="E37" s="6" t="s">
        <v>333</v>
      </c>
      <c r="F37" s="33">
        <v>180</v>
      </c>
      <c r="G37" s="31"/>
      <c r="H37" s="31"/>
      <c r="I37" s="31"/>
      <c r="J37" s="31"/>
      <c r="K37" s="31"/>
      <c r="L37" s="6">
        <f t="shared" si="1"/>
        <v>-227.5</v>
      </c>
      <c r="M37" s="6">
        <f t="shared" si="2"/>
        <v>35.104012116375912</v>
      </c>
      <c r="N37" s="31"/>
      <c r="O37" s="31"/>
      <c r="P37" s="31"/>
      <c r="Q37" s="31"/>
      <c r="R37" s="31"/>
      <c r="T37" s="6">
        <f>DAYS360("31-12-2009",U37)</f>
        <v>1805</v>
      </c>
      <c r="U37" s="5">
        <v>42009</v>
      </c>
      <c r="V37" s="6" t="s">
        <v>338</v>
      </c>
      <c r="W37" s="30">
        <v>60</v>
      </c>
      <c r="X37" s="31"/>
      <c r="Y37" s="31"/>
      <c r="Z37" s="31"/>
      <c r="AA37" s="31"/>
      <c r="AB37" s="31"/>
      <c r="AC37" s="31"/>
      <c r="AD37" s="31"/>
      <c r="AE37" s="31"/>
      <c r="AF37" s="31"/>
      <c r="AG37" s="31"/>
      <c r="AH37" s="31"/>
      <c r="AI37" s="31"/>
      <c r="AJ37">
        <f t="shared" si="19"/>
        <v>156</v>
      </c>
      <c r="AK37" s="6">
        <f t="shared" si="4"/>
        <v>0.17328649932885085</v>
      </c>
      <c r="AL37" s="6">
        <f t="shared" si="5"/>
        <v>2.8855503390388219E-2</v>
      </c>
      <c r="AM37" s="6">
        <f t="shared" si="6"/>
        <v>1.1595445849444698E-2</v>
      </c>
      <c r="AN37" s="6">
        <f t="shared" si="7"/>
        <v>0.64756222478471492</v>
      </c>
      <c r="AO37" s="6">
        <f t="shared" si="8"/>
        <v>0.26957075812682357</v>
      </c>
      <c r="AP37" s="6">
        <f t="shared" si="9"/>
        <v>0.17328649932885085</v>
      </c>
      <c r="AQ37" s="6">
        <f t="shared" si="10"/>
        <v>0.64756222478471492</v>
      </c>
      <c r="AR37" s="6">
        <f t="shared" si="11"/>
        <v>0.26957075812682357</v>
      </c>
      <c r="AS37" s="6">
        <f t="shared" si="12"/>
        <v>0.64756222478471492</v>
      </c>
      <c r="AT37" s="6">
        <f t="shared" si="13"/>
        <v>0.41832008751840699</v>
      </c>
      <c r="AU37" s="6">
        <f t="shared" si="14"/>
        <v>0.26957075812682357</v>
      </c>
      <c r="AV37" s="6">
        <f t="shared" si="15"/>
        <v>0.64756222478471492</v>
      </c>
      <c r="AW37" s="6">
        <f t="shared" si="16"/>
        <v>0.64756222478471492</v>
      </c>
      <c r="AX37" s="6">
        <f t="shared" si="17"/>
        <v>0.64279697853194562</v>
      </c>
      <c r="AY37" s="6">
        <f t="shared" si="18"/>
        <v>0.64756222478471492</v>
      </c>
    </row>
    <row r="38" spans="2:51" x14ac:dyDescent="0.25">
      <c r="B38" s="6">
        <f t="shared" si="0"/>
        <v>1460</v>
      </c>
      <c r="C38" s="10">
        <v>1</v>
      </c>
      <c r="D38" s="5">
        <v>41659</v>
      </c>
      <c r="E38" s="6" t="s">
        <v>333</v>
      </c>
      <c r="F38" s="33">
        <f>8*60</f>
        <v>480</v>
      </c>
      <c r="G38" s="31"/>
      <c r="H38" s="31"/>
      <c r="I38" s="31"/>
      <c r="J38" s="31"/>
      <c r="K38" s="31"/>
      <c r="L38" s="6">
        <f t="shared" si="1"/>
        <v>72.5</v>
      </c>
      <c r="M38" s="6">
        <f t="shared" si="2"/>
        <v>11.186992872251663</v>
      </c>
      <c r="N38" s="31"/>
      <c r="O38" s="31"/>
      <c r="P38" s="31"/>
      <c r="Q38" s="31"/>
      <c r="R38" s="31"/>
      <c r="T38" s="6">
        <f>DAYS360("31-12-2009",U38)</f>
        <v>1880</v>
      </c>
      <c r="U38" s="5">
        <v>42083</v>
      </c>
      <c r="V38" s="6" t="s">
        <v>338</v>
      </c>
      <c r="W38" s="30">
        <v>90</v>
      </c>
      <c r="X38" s="31"/>
      <c r="Y38" s="31"/>
      <c r="Z38" s="31"/>
      <c r="AA38" s="31"/>
      <c r="AB38" s="31"/>
      <c r="AC38" s="31"/>
      <c r="AD38" s="31"/>
      <c r="AE38" s="31"/>
      <c r="AF38" s="31"/>
      <c r="AG38" s="31"/>
      <c r="AH38" s="31"/>
      <c r="AI38" s="31"/>
      <c r="AJ38">
        <f t="shared" si="19"/>
        <v>161</v>
      </c>
      <c r="AK38" s="6">
        <f t="shared" si="4"/>
        <v>0.16381971345445456</v>
      </c>
      <c r="AL38" s="6">
        <f t="shared" si="5"/>
        <v>2.57559165562402E-2</v>
      </c>
      <c r="AM38" s="6">
        <f t="shared" si="6"/>
        <v>1.0051835744633586E-2</v>
      </c>
      <c r="AN38" s="6">
        <f t="shared" si="7"/>
        <v>0.63860576794275881</v>
      </c>
      <c r="AO38" s="6">
        <f t="shared" si="8"/>
        <v>0.25847890947396718</v>
      </c>
      <c r="AP38" s="6">
        <f t="shared" si="9"/>
        <v>0.16381971345445456</v>
      </c>
      <c r="AQ38" s="6">
        <f t="shared" si="10"/>
        <v>0.63860576794275881</v>
      </c>
      <c r="AR38" s="6">
        <f t="shared" si="11"/>
        <v>0.25847890947396718</v>
      </c>
      <c r="AS38" s="6">
        <f t="shared" si="12"/>
        <v>0.63860576794275881</v>
      </c>
      <c r="AT38" s="6">
        <f t="shared" si="13"/>
        <v>0.40679685708575891</v>
      </c>
      <c r="AU38" s="6">
        <f t="shared" si="14"/>
        <v>0.25847890947396718</v>
      </c>
      <c r="AV38" s="6">
        <f t="shared" si="15"/>
        <v>0.63860576794275881</v>
      </c>
      <c r="AW38" s="6">
        <f t="shared" si="16"/>
        <v>0.63860576794275881</v>
      </c>
      <c r="AX38" s="6">
        <f t="shared" si="17"/>
        <v>0.63375638349085628</v>
      </c>
      <c r="AY38" s="6">
        <f t="shared" si="18"/>
        <v>0.63860576794275881</v>
      </c>
    </row>
    <row r="39" spans="2:51" x14ac:dyDescent="0.25">
      <c r="B39" s="6">
        <f t="shared" si="0"/>
        <v>1532</v>
      </c>
      <c r="C39" s="10">
        <v>1</v>
      </c>
      <c r="D39" s="5">
        <v>41731</v>
      </c>
      <c r="E39" s="6" t="s">
        <v>333</v>
      </c>
      <c r="F39" s="33">
        <f>7*24*60</f>
        <v>10080</v>
      </c>
      <c r="G39" s="31"/>
      <c r="H39" s="31"/>
      <c r="I39" s="31"/>
      <c r="J39" s="31"/>
      <c r="K39" s="31"/>
      <c r="L39" s="6">
        <f t="shared" si="1"/>
        <v>9672.5</v>
      </c>
      <c r="M39" s="6">
        <f t="shared" si="2"/>
        <v>1492.499152508334</v>
      </c>
      <c r="N39" s="31"/>
      <c r="O39" s="31"/>
      <c r="P39" s="31"/>
      <c r="Q39" s="31"/>
      <c r="R39" s="31"/>
      <c r="T39" s="6">
        <f>DAYS360("31-12-2009",U39)</f>
        <v>2010</v>
      </c>
      <c r="U39" s="5">
        <v>42215</v>
      </c>
      <c r="V39" s="6" t="s">
        <v>338</v>
      </c>
      <c r="W39" s="30">
        <v>120</v>
      </c>
      <c r="X39" s="31"/>
      <c r="Y39" s="31"/>
      <c r="Z39" s="31"/>
      <c r="AA39" s="31"/>
      <c r="AB39" s="31"/>
      <c r="AC39" s="31"/>
      <c r="AD39" s="31"/>
      <c r="AE39" s="31"/>
      <c r="AF39" s="31"/>
      <c r="AG39" s="31"/>
      <c r="AH39" s="31"/>
      <c r="AI39" s="31"/>
      <c r="AJ39">
        <f t="shared" si="19"/>
        <v>166</v>
      </c>
      <c r="AK39" s="6">
        <f t="shared" si="4"/>
        <v>0.15487010598194637</v>
      </c>
      <c r="AL39" s="6">
        <f t="shared" si="5"/>
        <v>2.2989279676644835E-2</v>
      </c>
      <c r="AM39" s="6">
        <f t="shared" si="6"/>
        <v>8.7137142589417613E-3</v>
      </c>
      <c r="AN39" s="6">
        <f t="shared" si="7"/>
        <v>0.62977318818333095</v>
      </c>
      <c r="AO39" s="6">
        <f t="shared" si="8"/>
        <v>0.24784344973878408</v>
      </c>
      <c r="AP39" s="6">
        <f t="shared" si="9"/>
        <v>0.15487010598194637</v>
      </c>
      <c r="AQ39" s="6">
        <f t="shared" si="10"/>
        <v>0.62977318818333095</v>
      </c>
      <c r="AR39" s="6">
        <f t="shared" si="11"/>
        <v>0.24784344973878408</v>
      </c>
      <c r="AS39" s="6">
        <f t="shared" si="12"/>
        <v>0.62977318818333095</v>
      </c>
      <c r="AT39" s="6">
        <f t="shared" si="13"/>
        <v>0.39559105066301581</v>
      </c>
      <c r="AU39" s="6">
        <f t="shared" si="14"/>
        <v>0.24784344973878408</v>
      </c>
      <c r="AV39" s="6">
        <f t="shared" si="15"/>
        <v>0.62977318818333095</v>
      </c>
      <c r="AW39" s="6">
        <f t="shared" si="16"/>
        <v>0.62977318818333095</v>
      </c>
      <c r="AX39" s="6">
        <f t="shared" si="17"/>
        <v>0.624842939574347</v>
      </c>
      <c r="AY39" s="6">
        <f t="shared" si="18"/>
        <v>0.62977318818333095</v>
      </c>
    </row>
    <row r="40" spans="2:51" x14ac:dyDescent="0.25">
      <c r="B40" s="6">
        <f t="shared" si="0"/>
        <v>1537</v>
      </c>
      <c r="C40" s="10">
        <v>1</v>
      </c>
      <c r="D40" s="5">
        <v>41736</v>
      </c>
      <c r="E40" s="6" t="s">
        <v>333</v>
      </c>
      <c r="F40" s="33">
        <f>12*60</f>
        <v>720</v>
      </c>
      <c r="G40" s="31"/>
      <c r="H40" s="31"/>
      <c r="I40" s="31"/>
      <c r="J40" s="31"/>
      <c r="K40" s="31"/>
      <c r="L40" s="6">
        <f t="shared" si="1"/>
        <v>312.5</v>
      </c>
      <c r="M40" s="6">
        <f t="shared" si="2"/>
        <v>48.219796863153725</v>
      </c>
      <c r="N40" s="31"/>
      <c r="O40" s="31"/>
      <c r="P40" s="31"/>
      <c r="Q40" s="31"/>
      <c r="R40" s="31"/>
      <c r="T40" s="6">
        <f>DAYS360("31-12-2009",U40)</f>
        <v>2040</v>
      </c>
      <c r="U40" s="5">
        <v>42247</v>
      </c>
      <c r="V40" s="6" t="s">
        <v>338</v>
      </c>
      <c r="W40" s="30">
        <v>45</v>
      </c>
      <c r="X40" s="6">
        <f>COUNT(W37:W40)</f>
        <v>4</v>
      </c>
      <c r="Y40" s="6">
        <f>SUM(W37:W40)</f>
        <v>315</v>
      </c>
      <c r="Z40" s="6">
        <f>($F$51-Y40)/X40</f>
        <v>129521.25</v>
      </c>
      <c r="AA40" s="6">
        <f>INT(Z40/60/24)</f>
        <v>89</v>
      </c>
      <c r="AB40" s="6">
        <f>Y40/X40</f>
        <v>78.75</v>
      </c>
      <c r="AC40" s="6">
        <f>Y40-W41</f>
        <v>236.25</v>
      </c>
      <c r="AD40" s="33">
        <f>SQRT((AC40*AC40)/COUNT(W37:W40))</f>
        <v>118.125</v>
      </c>
      <c r="AE40" s="6">
        <f>1/AA40</f>
        <v>1.1235955056179775E-2</v>
      </c>
      <c r="AF40" s="6">
        <f>AE40*EXP(-AE40*(365*1))</f>
        <v>1.8600072893790504E-4</v>
      </c>
      <c r="AG40" s="6">
        <f>1-EXP(-AE40*(365*1))</f>
        <v>0.98344593512452649</v>
      </c>
      <c r="AH40" s="6">
        <f>EXP(-AE40*(365*1))</f>
        <v>1.6554064875473548E-2</v>
      </c>
      <c r="AI40" s="6">
        <f>$F$51/(Y40+$F$51)*100</f>
        <v>99.939273011191119</v>
      </c>
      <c r="AJ40">
        <f t="shared" si="19"/>
        <v>171</v>
      </c>
      <c r="AK40" s="6">
        <f t="shared" si="4"/>
        <v>0.14640942302421725</v>
      </c>
      <c r="AL40" s="6">
        <f t="shared" si="5"/>
        <v>2.0519828090643018E-2</v>
      </c>
      <c r="AM40" s="6">
        <f t="shared" si="6"/>
        <v>7.5537263158146489E-3</v>
      </c>
      <c r="AN40" s="6">
        <f t="shared" si="7"/>
        <v>0.62106277215796701</v>
      </c>
      <c r="AO40" s="6">
        <f t="shared" si="8"/>
        <v>0.23764560019009123</v>
      </c>
      <c r="AP40" s="6">
        <f t="shared" si="9"/>
        <v>0.14640942302421725</v>
      </c>
      <c r="AQ40" s="6">
        <f t="shared" si="10"/>
        <v>0.62106277215796701</v>
      </c>
      <c r="AR40" s="6">
        <f t="shared" si="11"/>
        <v>0.23764560019009123</v>
      </c>
      <c r="AS40" s="6">
        <f t="shared" si="12"/>
        <v>0.62106277215796701</v>
      </c>
      <c r="AT40" s="6">
        <f t="shared" si="13"/>
        <v>0.38469392434779259</v>
      </c>
      <c r="AU40" s="6">
        <f t="shared" si="14"/>
        <v>0.23764560019009123</v>
      </c>
      <c r="AV40" s="6">
        <f t="shared" si="15"/>
        <v>0.62106277215796701</v>
      </c>
      <c r="AW40" s="6">
        <f t="shared" si="16"/>
        <v>0.62106277215796701</v>
      </c>
      <c r="AX40" s="6">
        <f t="shared" si="17"/>
        <v>0.6160548584699882</v>
      </c>
      <c r="AY40" s="6">
        <f t="shared" si="18"/>
        <v>0.62106277215796701</v>
      </c>
    </row>
    <row r="41" spans="2:51" x14ac:dyDescent="0.25">
      <c r="B41" s="6">
        <f t="shared" si="0"/>
        <v>1579</v>
      </c>
      <c r="C41" s="10">
        <v>1</v>
      </c>
      <c r="D41" s="5">
        <v>41778</v>
      </c>
      <c r="E41" s="6" t="s">
        <v>333</v>
      </c>
      <c r="F41" s="33">
        <v>180</v>
      </c>
      <c r="G41" s="31"/>
      <c r="H41" s="31"/>
      <c r="I41" s="31"/>
      <c r="J41" s="31"/>
      <c r="K41" s="31"/>
      <c r="L41" s="6">
        <f t="shared" si="1"/>
        <v>-227.5</v>
      </c>
      <c r="M41" s="6">
        <f t="shared" si="2"/>
        <v>35.104012116375912</v>
      </c>
      <c r="N41" s="31"/>
      <c r="O41" s="31"/>
      <c r="P41" s="31"/>
      <c r="Q41" s="31"/>
      <c r="R41" s="31"/>
      <c r="T41" s="31"/>
      <c r="U41" s="31"/>
      <c r="V41" s="43" t="s">
        <v>235</v>
      </c>
      <c r="W41" s="6">
        <f>AVERAGE(W37:W40)</f>
        <v>78.75</v>
      </c>
      <c r="X41" s="31"/>
      <c r="Y41" s="31"/>
      <c r="Z41" s="31"/>
      <c r="AA41" s="31"/>
      <c r="AB41" s="31"/>
      <c r="AC41" s="31"/>
      <c r="AD41" s="31"/>
      <c r="AE41" s="31"/>
      <c r="AF41" s="31"/>
      <c r="AG41" s="31"/>
      <c r="AH41" s="31"/>
      <c r="AI41" s="31"/>
      <c r="AJ41">
        <f t="shared" si="19"/>
        <v>176</v>
      </c>
      <c r="AK41" s="6">
        <f t="shared" si="4"/>
        <v>0.13841095422755781</v>
      </c>
      <c r="AL41" s="6">
        <f t="shared" si="5"/>
        <v>1.8315638888734179E-2</v>
      </c>
      <c r="AM41" s="6">
        <f t="shared" si="6"/>
        <v>6.5481584039410777E-3</v>
      </c>
      <c r="AN41" s="6">
        <f t="shared" si="7"/>
        <v>0.61247283021558807</v>
      </c>
      <c r="AO41" s="6">
        <f t="shared" si="8"/>
        <v>0.22786735477266509</v>
      </c>
      <c r="AP41" s="6">
        <f t="shared" si="9"/>
        <v>0.13841095422755781</v>
      </c>
      <c r="AQ41" s="6">
        <f t="shared" si="10"/>
        <v>0.61247283021558807</v>
      </c>
      <c r="AR41" s="6">
        <f t="shared" si="11"/>
        <v>0.22786735477266509</v>
      </c>
      <c r="AS41" s="6">
        <f t="shared" si="12"/>
        <v>0.61247283021558807</v>
      </c>
      <c r="AT41" s="6">
        <f t="shared" si="13"/>
        <v>0.37409697510111256</v>
      </c>
      <c r="AU41" s="6">
        <f t="shared" si="14"/>
        <v>0.22786735477266509</v>
      </c>
      <c r="AV41" s="6">
        <f t="shared" si="15"/>
        <v>0.61247283021558807</v>
      </c>
      <c r="AW41" s="6">
        <f t="shared" si="16"/>
        <v>0.61247283021558807</v>
      </c>
      <c r="AX41" s="6">
        <f t="shared" si="17"/>
        <v>0.60739037701700638</v>
      </c>
      <c r="AY41" s="6">
        <f t="shared" si="18"/>
        <v>0.61247283021558807</v>
      </c>
    </row>
    <row r="42" spans="2:51" x14ac:dyDescent="0.25">
      <c r="B42" s="6">
        <f t="shared" si="0"/>
        <v>1696</v>
      </c>
      <c r="C42" s="10">
        <v>1</v>
      </c>
      <c r="D42" s="5">
        <v>41898</v>
      </c>
      <c r="E42" s="6" t="s">
        <v>333</v>
      </c>
      <c r="F42" s="33">
        <v>120</v>
      </c>
      <c r="G42" s="31"/>
      <c r="H42" s="31"/>
      <c r="I42" s="31"/>
      <c r="J42" s="31"/>
      <c r="K42" s="31"/>
      <c r="L42" s="6">
        <f t="shared" si="1"/>
        <v>-287.5</v>
      </c>
      <c r="M42" s="6">
        <f t="shared" si="2"/>
        <v>44.362213114101422</v>
      </c>
      <c r="N42" s="31"/>
      <c r="O42" s="31"/>
      <c r="P42" s="31"/>
      <c r="Q42" s="31"/>
      <c r="R42" s="31"/>
      <c r="T42" s="6">
        <f>DAYS360("31-12-2009",U42)</f>
        <v>405</v>
      </c>
      <c r="U42" s="5">
        <v>40589</v>
      </c>
      <c r="V42" s="6" t="s">
        <v>339</v>
      </c>
      <c r="W42" s="33">
        <v>120</v>
      </c>
      <c r="X42" s="6">
        <f>COUNT(W42)</f>
        <v>1</v>
      </c>
      <c r="Y42" s="6">
        <f>SUM(W42)</f>
        <v>120</v>
      </c>
      <c r="Z42" s="6">
        <f>($F$51-Y42)/X42</f>
        <v>518280</v>
      </c>
      <c r="AA42" s="6">
        <f>INT(Z42/60/24)</f>
        <v>359</v>
      </c>
      <c r="AB42" s="6">
        <f>Y42/X42</f>
        <v>120</v>
      </c>
      <c r="AC42" s="6">
        <f>Y42-W43</f>
        <v>0</v>
      </c>
      <c r="AD42" s="33">
        <f>SQRT((AC42*AC42)/COUNT(W42))</f>
        <v>0</v>
      </c>
      <c r="AE42" s="6">
        <f>1/AA42</f>
        <v>2.7855153203342618E-3</v>
      </c>
      <c r="AF42" s="6">
        <f>AE42*EXP(-AE42*(365*1))</f>
        <v>1.007749673042332E-3</v>
      </c>
      <c r="AG42" s="6">
        <f>1-EXP(-AE42*(365*1))</f>
        <v>0.63821786737780273</v>
      </c>
      <c r="AH42" s="6">
        <f>EXP(-AE42*(365*1))</f>
        <v>0.36178213262219722</v>
      </c>
      <c r="AI42" s="6">
        <f>$F$51/(Y42+$F$51)*100</f>
        <v>99.976857208979411</v>
      </c>
      <c r="AJ42">
        <f t="shared" si="19"/>
        <v>181</v>
      </c>
      <c r="AK42" s="6">
        <f t="shared" si="4"/>
        <v>0.13084944844714186</v>
      </c>
      <c r="AL42" s="6">
        <f t="shared" si="5"/>
        <v>1.6348218241432629E-2</v>
      </c>
      <c r="AM42" s="6">
        <f t="shared" si="6"/>
        <v>5.6764538044399406E-3</v>
      </c>
      <c r="AN42" s="6">
        <f t="shared" si="7"/>
        <v>0.60400169607474108</v>
      </c>
      <c r="AO42" s="6">
        <f t="shared" si="8"/>
        <v>0.21849144831445771</v>
      </c>
      <c r="AP42" s="6">
        <f t="shared" si="9"/>
        <v>0.13084944844714186</v>
      </c>
      <c r="AQ42" s="6">
        <f t="shared" si="10"/>
        <v>0.60400169607474108</v>
      </c>
      <c r="AR42" s="6">
        <f t="shared" si="11"/>
        <v>0.21849144831445771</v>
      </c>
      <c r="AS42" s="6">
        <f t="shared" si="12"/>
        <v>0.60400169607474108</v>
      </c>
      <c r="AT42" s="6">
        <f t="shared" si="13"/>
        <v>0.36379193411247712</v>
      </c>
      <c r="AU42" s="6">
        <f t="shared" si="14"/>
        <v>0.21849144831445771</v>
      </c>
      <c r="AV42" s="6">
        <f t="shared" si="15"/>
        <v>0.60400169607474108</v>
      </c>
      <c r="AW42" s="6">
        <f t="shared" si="16"/>
        <v>0.60400169607474108</v>
      </c>
      <c r="AX42" s="6">
        <f t="shared" si="17"/>
        <v>0.59884775685253955</v>
      </c>
      <c r="AY42" s="6">
        <f t="shared" si="18"/>
        <v>0.60400169607474108</v>
      </c>
    </row>
    <row r="43" spans="2:51" x14ac:dyDescent="0.25">
      <c r="B43" s="6">
        <f t="shared" si="0"/>
        <v>1805</v>
      </c>
      <c r="C43" s="10">
        <v>2</v>
      </c>
      <c r="D43" s="5">
        <v>42009</v>
      </c>
      <c r="E43" s="6" t="s">
        <v>333</v>
      </c>
      <c r="F43" s="30">
        <v>120</v>
      </c>
      <c r="G43" s="31"/>
      <c r="H43" s="31"/>
      <c r="I43" s="31"/>
      <c r="J43" s="31"/>
      <c r="K43" s="31"/>
      <c r="L43" s="6">
        <f t="shared" si="1"/>
        <v>-287.5</v>
      </c>
      <c r="M43" s="6">
        <f t="shared" si="2"/>
        <v>44.362213114101422</v>
      </c>
      <c r="N43" s="31"/>
      <c r="O43" s="31"/>
      <c r="P43" s="31"/>
      <c r="Q43" s="31"/>
      <c r="R43" s="31"/>
      <c r="T43" s="31"/>
      <c r="U43" s="31"/>
      <c r="V43" s="43" t="s">
        <v>235</v>
      </c>
      <c r="W43" s="6">
        <f>AVERAGE(W42)</f>
        <v>120</v>
      </c>
      <c r="X43" s="31"/>
      <c r="Y43" s="31"/>
      <c r="Z43" s="31"/>
      <c r="AA43" s="31"/>
      <c r="AB43" s="31"/>
      <c r="AC43" s="31"/>
      <c r="AD43" s="31"/>
      <c r="AE43" s="31"/>
      <c r="AF43" s="31"/>
      <c r="AG43" s="31"/>
      <c r="AH43" s="31"/>
      <c r="AI43" s="31"/>
      <c r="AJ43">
        <f t="shared" si="19"/>
        <v>186</v>
      </c>
      <c r="AK43" s="6">
        <f t="shared" si="4"/>
        <v>0.12370103402922936</v>
      </c>
      <c r="AL43" s="6">
        <f t="shared" si="5"/>
        <v>1.4592133055970142E-2</v>
      </c>
      <c r="AM43" s="6">
        <f t="shared" si="6"/>
        <v>4.920792352021826E-3</v>
      </c>
      <c r="AN43" s="6">
        <f t="shared" si="7"/>
        <v>0.5956477265003729</v>
      </c>
      <c r="AO43" s="6">
        <f t="shared" si="8"/>
        <v>0.20950132604196997</v>
      </c>
      <c r="AP43" s="6">
        <f t="shared" si="9"/>
        <v>0.12370103402922936</v>
      </c>
      <c r="AQ43" s="6">
        <f t="shared" si="10"/>
        <v>0.5956477265003729</v>
      </c>
      <c r="AR43" s="6">
        <f t="shared" si="11"/>
        <v>0.20950132604196997</v>
      </c>
      <c r="AS43" s="6">
        <f t="shared" si="12"/>
        <v>0.5956477265003729</v>
      </c>
      <c r="AT43" s="6">
        <f t="shared" si="13"/>
        <v>0.35377076034770455</v>
      </c>
      <c r="AU43" s="6">
        <f t="shared" si="14"/>
        <v>0.20950132604196997</v>
      </c>
      <c r="AV43" s="6">
        <f t="shared" si="15"/>
        <v>0.5956477265003729</v>
      </c>
      <c r="AW43" s="6">
        <f t="shared" si="16"/>
        <v>0.5956477265003729</v>
      </c>
      <c r="AX43" s="6">
        <f t="shared" si="17"/>
        <v>0.59042528406286787</v>
      </c>
      <c r="AY43" s="6">
        <f t="shared" si="18"/>
        <v>0.5956477265003729</v>
      </c>
    </row>
    <row r="44" spans="2:51" x14ac:dyDescent="0.25">
      <c r="B44" s="6">
        <f t="shared" si="0"/>
        <v>1880</v>
      </c>
      <c r="C44" s="10">
        <v>1</v>
      </c>
      <c r="D44" s="5">
        <v>42083</v>
      </c>
      <c r="E44" s="6" t="s">
        <v>333</v>
      </c>
      <c r="F44" s="30">
        <v>90</v>
      </c>
      <c r="G44" s="31"/>
      <c r="H44" s="31"/>
      <c r="I44" s="31"/>
      <c r="J44" s="31"/>
      <c r="K44" s="31"/>
      <c r="L44" s="6">
        <f t="shared" si="1"/>
        <v>-317.5</v>
      </c>
      <c r="M44" s="6">
        <f t="shared" si="2"/>
        <v>48.991313612964184</v>
      </c>
      <c r="N44" s="31"/>
      <c r="O44" s="31"/>
      <c r="P44" s="31"/>
      <c r="Q44" s="31"/>
      <c r="R44" s="31"/>
      <c r="T44" s="6">
        <f>DAYS360("31-12-2009",U44)</f>
        <v>891</v>
      </c>
      <c r="U44" s="5">
        <v>41081</v>
      </c>
      <c r="V44" s="6" t="s">
        <v>339</v>
      </c>
      <c r="W44" s="33">
        <v>60</v>
      </c>
      <c r="X44" s="31"/>
      <c r="Y44" s="31"/>
      <c r="Z44" s="31"/>
      <c r="AA44" s="31"/>
      <c r="AB44" s="31"/>
      <c r="AC44" s="31"/>
      <c r="AD44" s="31"/>
      <c r="AE44" s="31"/>
      <c r="AF44" s="31"/>
      <c r="AG44" s="31"/>
      <c r="AH44" s="31"/>
      <c r="AI44" s="31"/>
      <c r="AJ44">
        <f t="shared" si="19"/>
        <v>191</v>
      </c>
      <c r="AK44" s="6">
        <f t="shared" si="4"/>
        <v>0.11694314344841851</v>
      </c>
      <c r="AL44" s="6">
        <f t="shared" si="5"/>
        <v>1.3024682199524957E-2</v>
      </c>
      <c r="AM44" s="6">
        <f t="shared" si="6"/>
        <v>4.2657261392274352E-3</v>
      </c>
      <c r="AN44" s="6">
        <f t="shared" si="7"/>
        <v>0.58740930098507438</v>
      </c>
      <c r="AO44" s="6">
        <f t="shared" si="8"/>
        <v>0.20088111434995476</v>
      </c>
      <c r="AP44" s="6">
        <f t="shared" si="9"/>
        <v>0.11694314344841851</v>
      </c>
      <c r="AQ44" s="6">
        <f t="shared" si="10"/>
        <v>0.58740930098507438</v>
      </c>
      <c r="AR44" s="6">
        <f t="shared" si="11"/>
        <v>0.20088111434995476</v>
      </c>
      <c r="AS44" s="6">
        <f t="shared" si="12"/>
        <v>0.58740930098507438</v>
      </c>
      <c r="AT44" s="6">
        <f t="shared" si="13"/>
        <v>0.34402563427450272</v>
      </c>
      <c r="AU44" s="6">
        <f t="shared" si="14"/>
        <v>0.20088111434995476</v>
      </c>
      <c r="AV44" s="6">
        <f t="shared" si="15"/>
        <v>0.58740930098507438</v>
      </c>
      <c r="AW44" s="6">
        <f t="shared" si="16"/>
        <v>0.58740930098507438</v>
      </c>
      <c r="AX44" s="6">
        <f t="shared" si="17"/>
        <v>0.58212126883954918</v>
      </c>
      <c r="AY44" s="6">
        <f t="shared" si="18"/>
        <v>0.58740930098507438</v>
      </c>
    </row>
    <row r="45" spans="2:51" x14ac:dyDescent="0.25">
      <c r="B45" s="6">
        <f t="shared" si="0"/>
        <v>1994</v>
      </c>
      <c r="C45" s="10">
        <v>1</v>
      </c>
      <c r="D45" s="5">
        <v>42199</v>
      </c>
      <c r="E45" s="6" t="s">
        <v>333</v>
      </c>
      <c r="F45" s="30">
        <v>480</v>
      </c>
      <c r="G45" s="31"/>
      <c r="H45" s="31"/>
      <c r="I45" s="31"/>
      <c r="J45" s="31"/>
      <c r="K45" s="31"/>
      <c r="L45" s="6">
        <f t="shared" si="1"/>
        <v>72.5</v>
      </c>
      <c r="M45" s="6">
        <f t="shared" si="2"/>
        <v>11.186992872251663</v>
      </c>
      <c r="N45" s="31"/>
      <c r="O45" s="31"/>
      <c r="P45" s="31"/>
      <c r="Q45" s="31"/>
      <c r="R45" s="31"/>
      <c r="T45" s="6">
        <f>DAYS360("31-12-2009",U45)</f>
        <v>999</v>
      </c>
      <c r="U45" s="5">
        <v>41191</v>
      </c>
      <c r="V45" s="6" t="s">
        <v>339</v>
      </c>
      <c r="W45" s="33">
        <v>120</v>
      </c>
      <c r="X45" s="31"/>
      <c r="Y45" s="31"/>
      <c r="Z45" s="31"/>
      <c r="AA45" s="31"/>
      <c r="AB45" s="31"/>
      <c r="AC45" s="31"/>
      <c r="AD45" s="31"/>
      <c r="AE45" s="31"/>
      <c r="AF45" s="31"/>
      <c r="AG45" s="31"/>
      <c r="AH45" s="31"/>
      <c r="AI45" s="31"/>
      <c r="AJ45">
        <f t="shared" si="19"/>
        <v>196</v>
      </c>
      <c r="AK45" s="6">
        <f t="shared" si="4"/>
        <v>0.11055444206202804</v>
      </c>
      <c r="AL45" s="6">
        <f t="shared" si="5"/>
        <v>1.1625603038838491E-2</v>
      </c>
      <c r="AM45" s="6">
        <f t="shared" si="6"/>
        <v>3.697863716482932E-3</v>
      </c>
      <c r="AN45" s="6">
        <f t="shared" si="7"/>
        <v>0.57928482143473381</v>
      </c>
      <c r="AO45" s="6">
        <f t="shared" si="8"/>
        <v>0.19261559277384013</v>
      </c>
      <c r="AP45" s="6">
        <f t="shared" si="9"/>
        <v>0.11055444206202804</v>
      </c>
      <c r="AQ45" s="6">
        <f t="shared" si="10"/>
        <v>0.57928482143473381</v>
      </c>
      <c r="AR45" s="6">
        <f t="shared" si="11"/>
        <v>0.19261559277384013</v>
      </c>
      <c r="AS45" s="6">
        <f t="shared" si="12"/>
        <v>0.57928482143473381</v>
      </c>
      <c r="AT45" s="6">
        <f t="shared" si="13"/>
        <v>0.33454895176087951</v>
      </c>
      <c r="AU45" s="6">
        <f t="shared" si="14"/>
        <v>0.19261559277384013</v>
      </c>
      <c r="AV45" s="6">
        <f t="shared" si="15"/>
        <v>0.57928482143473381</v>
      </c>
      <c r="AW45" s="6">
        <f t="shared" si="16"/>
        <v>0.57928482143473381</v>
      </c>
      <c r="AX45" s="6">
        <f t="shared" si="17"/>
        <v>0.57393404514039192</v>
      </c>
      <c r="AY45" s="6">
        <f t="shared" si="18"/>
        <v>0.57928482143473381</v>
      </c>
    </row>
    <row r="46" spans="2:51" x14ac:dyDescent="0.25">
      <c r="B46" s="6">
        <f t="shared" si="0"/>
        <v>2010</v>
      </c>
      <c r="C46" s="10">
        <v>1</v>
      </c>
      <c r="D46" s="5">
        <v>42215</v>
      </c>
      <c r="E46" s="6" t="s">
        <v>333</v>
      </c>
      <c r="F46" s="30">
        <v>120</v>
      </c>
      <c r="G46" s="31"/>
      <c r="H46" s="31"/>
      <c r="I46" s="31"/>
      <c r="J46" s="31"/>
      <c r="K46" s="31"/>
      <c r="L46" s="6">
        <f t="shared" si="1"/>
        <v>-287.5</v>
      </c>
      <c r="M46" s="6">
        <f t="shared" si="2"/>
        <v>44.362213114101422</v>
      </c>
      <c r="N46" s="31"/>
      <c r="O46" s="31"/>
      <c r="P46" s="31"/>
      <c r="Q46" s="31"/>
      <c r="R46" s="31"/>
      <c r="T46" s="6">
        <f>DAYS360("31-12-2009",U46)</f>
        <v>1013</v>
      </c>
      <c r="U46" s="5">
        <v>41205</v>
      </c>
      <c r="V46" s="6" t="s">
        <v>339</v>
      </c>
      <c r="W46" s="33">
        <v>120</v>
      </c>
      <c r="X46" s="6">
        <f>COUNT(W44:W46)</f>
        <v>3</v>
      </c>
      <c r="Y46" s="6">
        <f>SUM(W44:W46)</f>
        <v>300</v>
      </c>
      <c r="Z46" s="6">
        <f>($F$51-Y46)/X46</f>
        <v>172700</v>
      </c>
      <c r="AA46" s="6">
        <f>INT(Z46/60/24)</f>
        <v>119</v>
      </c>
      <c r="AB46" s="6">
        <f>Y46/X46</f>
        <v>100</v>
      </c>
      <c r="AC46" s="6">
        <f>Y46-W47</f>
        <v>200</v>
      </c>
      <c r="AD46" s="33">
        <f>SQRT((AC46*AC46)/COUNT(W44:W46))</f>
        <v>115.47005383792515</v>
      </c>
      <c r="AE46" s="6">
        <f>1/AA46</f>
        <v>8.4033613445378148E-3</v>
      </c>
      <c r="AF46" s="6">
        <f>AE46*EXP(-AE46*(365*1))</f>
        <v>3.9117701217351283E-4</v>
      </c>
      <c r="AG46" s="6">
        <f>1-EXP(-AE46*(365*1))</f>
        <v>0.95344993555135193</v>
      </c>
      <c r="AH46" s="6">
        <f>EXP(-AE46*(365*1))</f>
        <v>4.6550064448648031E-2</v>
      </c>
      <c r="AI46" s="6">
        <f>$F$51/(Y46+$F$51)*100</f>
        <v>99.94216310005784</v>
      </c>
      <c r="AJ46">
        <f t="shared" si="19"/>
        <v>201</v>
      </c>
      <c r="AK46" s="6">
        <f t="shared" si="4"/>
        <v>0.10451476075668635</v>
      </c>
      <c r="AL46" s="6">
        <f t="shared" si="5"/>
        <v>1.0376809502621133E-2</v>
      </c>
      <c r="AM46" s="6">
        <f t="shared" si="6"/>
        <v>3.2055963321071241E-3</v>
      </c>
      <c r="AN46" s="6">
        <f t="shared" si="7"/>
        <v>0.57127271185853779</v>
      </c>
      <c r="AO46" s="6">
        <f t="shared" si="8"/>
        <v>0.18469016711538452</v>
      </c>
      <c r="AP46" s="6">
        <f t="shared" si="9"/>
        <v>0.10451476075668635</v>
      </c>
      <c r="AQ46" s="6">
        <f t="shared" si="10"/>
        <v>0.57127271185853779</v>
      </c>
      <c r="AR46" s="6">
        <f t="shared" si="11"/>
        <v>0.18469016711538452</v>
      </c>
      <c r="AS46" s="6">
        <f t="shared" si="12"/>
        <v>0.57127271185853779</v>
      </c>
      <c r="AT46" s="6">
        <f t="shared" si="13"/>
        <v>0.32533331814163124</v>
      </c>
      <c r="AU46" s="6">
        <f t="shared" si="14"/>
        <v>0.18469016711538452</v>
      </c>
      <c r="AV46" s="6">
        <f t="shared" si="15"/>
        <v>0.57127271185853779</v>
      </c>
      <c r="AW46" s="6">
        <f t="shared" si="16"/>
        <v>0.57127271185853779</v>
      </c>
      <c r="AX46" s="6">
        <f t="shared" si="17"/>
        <v>0.56586197035519481</v>
      </c>
      <c r="AY46" s="6">
        <f t="shared" si="18"/>
        <v>0.57127271185853779</v>
      </c>
    </row>
    <row r="47" spans="2:51" x14ac:dyDescent="0.25">
      <c r="B47" s="6">
        <f t="shared" si="0"/>
        <v>2040</v>
      </c>
      <c r="C47" s="10">
        <v>1</v>
      </c>
      <c r="D47" s="5">
        <v>42247</v>
      </c>
      <c r="E47" s="6" t="s">
        <v>333</v>
      </c>
      <c r="F47" s="30">
        <v>45</v>
      </c>
      <c r="G47" s="6">
        <f>COUNT(F6:F46)+1+1</f>
        <v>43</v>
      </c>
      <c r="H47" s="6">
        <f>SUM(F6:F47)</f>
        <v>17115</v>
      </c>
      <c r="I47" s="6">
        <f>(2592000-H47)/G47</f>
        <v>59881.046511627908</v>
      </c>
      <c r="J47" s="6">
        <f>INT(I47/60/24)</f>
        <v>41</v>
      </c>
      <c r="K47" s="6">
        <f>H47/G47</f>
        <v>398.02325581395348</v>
      </c>
      <c r="L47" s="6">
        <f t="shared" si="1"/>
        <v>-362.5</v>
      </c>
      <c r="M47" s="6">
        <f t="shared" si="2"/>
        <v>55.934964361258317</v>
      </c>
      <c r="N47" s="6">
        <f>G47/(365*5)</f>
        <v>2.3561643835616437E-2</v>
      </c>
      <c r="O47" s="6">
        <f>N47*EXP(-N47*(365*5))</f>
        <v>4.983596417337888E-21</v>
      </c>
      <c r="P47" s="6">
        <f>1-EXP(-N47*(365*5))</f>
        <v>1</v>
      </c>
      <c r="Q47" s="6">
        <f>EXP(-N47*(365*5))</f>
        <v>2.1151310375910805E-19</v>
      </c>
      <c r="R47" s="6">
        <f>F50/(F49+F50)*100</f>
        <v>99.344030447105624</v>
      </c>
      <c r="T47" s="31"/>
      <c r="U47" s="31"/>
      <c r="V47" s="43" t="s">
        <v>235</v>
      </c>
      <c r="W47" s="6">
        <f>AVERAGE(W44:W46)</f>
        <v>100</v>
      </c>
      <c r="X47" s="31"/>
      <c r="Y47" s="31"/>
      <c r="Z47" s="31"/>
      <c r="AA47" s="31"/>
      <c r="AB47" s="31"/>
      <c r="AC47" s="31"/>
      <c r="AD47" s="31"/>
      <c r="AE47" s="31"/>
      <c r="AF47" s="31"/>
      <c r="AG47" s="31"/>
      <c r="AH47" s="31"/>
      <c r="AI47" s="31"/>
      <c r="AJ47">
        <f t="shared" si="19"/>
        <v>206</v>
      </c>
      <c r="AK47" s="6">
        <f t="shared" si="4"/>
        <v>9.8805032274494262E-2</v>
      </c>
      <c r="AL47" s="6">
        <f t="shared" si="5"/>
        <v>9.2621582806466044E-3</v>
      </c>
      <c r="AM47" s="6">
        <f t="shared" si="6"/>
        <v>2.7788606158239107E-3</v>
      </c>
      <c r="AN47" s="6">
        <f t="shared" si="7"/>
        <v>0.56337141806325919</v>
      </c>
      <c r="AO47" s="6">
        <f t="shared" si="8"/>
        <v>0.17709084367411268</v>
      </c>
      <c r="AP47" s="6">
        <f t="shared" si="9"/>
        <v>9.8805032274494262E-2</v>
      </c>
      <c r="AQ47" s="6">
        <f t="shared" si="10"/>
        <v>0.56337141806325919</v>
      </c>
      <c r="AR47" s="6">
        <f t="shared" si="11"/>
        <v>0.17709084367411268</v>
      </c>
      <c r="AS47" s="6">
        <f t="shared" si="12"/>
        <v>0.56337141806325919</v>
      </c>
      <c r="AT47" s="6">
        <f t="shared" si="13"/>
        <v>0.31637154244827759</v>
      </c>
      <c r="AU47" s="6">
        <f t="shared" si="14"/>
        <v>0.17709084367411268</v>
      </c>
      <c r="AV47" s="6">
        <f t="shared" si="15"/>
        <v>0.56337141806325919</v>
      </c>
      <c r="AW47" s="6">
        <f t="shared" si="16"/>
        <v>0.56337141806325919</v>
      </c>
      <c r="AX47" s="6">
        <f t="shared" si="17"/>
        <v>0.55790342497618928</v>
      </c>
      <c r="AY47" s="6">
        <f t="shared" si="18"/>
        <v>0.56337141806325919</v>
      </c>
    </row>
    <row r="48" spans="2:51" x14ac:dyDescent="0.25">
      <c r="E48" s="73" t="s">
        <v>235</v>
      </c>
      <c r="F48" s="74">
        <f>AVERAGE(F6:F47)</f>
        <v>407.5</v>
      </c>
      <c r="T48" s="6">
        <f>DAYS360("31-12-2009",U48)</f>
        <v>1805</v>
      </c>
      <c r="U48" s="5">
        <v>42009</v>
      </c>
      <c r="V48" s="6" t="s">
        <v>339</v>
      </c>
      <c r="W48" s="30">
        <v>60</v>
      </c>
      <c r="X48" s="6">
        <f>COUNT(W48)</f>
        <v>1</v>
      </c>
      <c r="Y48" s="6">
        <f>SUM(W48)</f>
        <v>60</v>
      </c>
      <c r="Z48" s="6">
        <f>($F$51-Y48)/X48</f>
        <v>518340</v>
      </c>
      <c r="AA48" s="6">
        <f>INT(Z48/60/24)</f>
        <v>359</v>
      </c>
      <c r="AB48" s="6">
        <f>Y48/X48</f>
        <v>60</v>
      </c>
      <c r="AC48" s="6">
        <f>Y48-W49</f>
        <v>0</v>
      </c>
      <c r="AD48" s="33">
        <f>SQRT((AC48*AC48)/COUNT(W48))</f>
        <v>0</v>
      </c>
      <c r="AE48" s="6">
        <f>1/AA48</f>
        <v>2.7855153203342618E-3</v>
      </c>
      <c r="AF48" s="6">
        <f>AE48*EXP(-AE48*(365*1))</f>
        <v>1.007749673042332E-3</v>
      </c>
      <c r="AG48" s="6">
        <f>1-EXP(-AE48*(365*1))</f>
        <v>0.63821786737780273</v>
      </c>
      <c r="AH48" s="6">
        <f>EXP(-AE48*(365*1))</f>
        <v>0.36178213262219722</v>
      </c>
      <c r="AI48" s="6">
        <f>$F$51/(Y48+$F$51)*100</f>
        <v>99.988427265362802</v>
      </c>
      <c r="AJ48">
        <f t="shared" si="19"/>
        <v>211</v>
      </c>
      <c r="AK48" s="6">
        <f t="shared" si="4"/>
        <v>9.3407231017742134E-2</v>
      </c>
      <c r="AL48" s="6">
        <f t="shared" si="5"/>
        <v>8.2672401371617008E-3</v>
      </c>
      <c r="AM48" s="6">
        <f t="shared" si="6"/>
        <v>2.4089328543439271E-3</v>
      </c>
      <c r="AN48" s="6">
        <f t="shared" si="7"/>
        <v>0.5555794073517748</v>
      </c>
      <c r="AO48" s="6">
        <f t="shared" si="8"/>
        <v>0.16980420453903336</v>
      </c>
      <c r="AP48" s="6">
        <f t="shared" si="9"/>
        <v>9.3407231017742134E-2</v>
      </c>
      <c r="AQ48" s="6">
        <f t="shared" si="10"/>
        <v>0.5555794073517748</v>
      </c>
      <c r="AR48" s="6">
        <f t="shared" si="11"/>
        <v>0.16980420453903336</v>
      </c>
      <c r="AS48" s="6">
        <f t="shared" si="12"/>
        <v>0.5555794073517748</v>
      </c>
      <c r="AT48" s="6">
        <f t="shared" si="13"/>
        <v>0.30765663179794123</v>
      </c>
      <c r="AU48" s="6">
        <f t="shared" si="14"/>
        <v>0.16980420453903336</v>
      </c>
      <c r="AV48" s="6">
        <f t="shared" si="15"/>
        <v>0.5555794073517748</v>
      </c>
      <c r="AW48" s="6">
        <f t="shared" si="16"/>
        <v>0.5555794073517748</v>
      </c>
      <c r="AX48" s="6">
        <f t="shared" si="17"/>
        <v>0.55005681227311498</v>
      </c>
      <c r="AY48" s="6">
        <f t="shared" si="18"/>
        <v>0.5555794073517748</v>
      </c>
    </row>
    <row r="49" spans="2:51" x14ac:dyDescent="0.25">
      <c r="E49" s="43" t="s">
        <v>261</v>
      </c>
      <c r="F49" s="6">
        <f>(SUM(F6:F47))</f>
        <v>17115</v>
      </c>
      <c r="G49" t="s">
        <v>237</v>
      </c>
      <c r="T49" s="31"/>
      <c r="U49" s="31"/>
      <c r="V49" s="43" t="s">
        <v>235</v>
      </c>
      <c r="W49" s="6">
        <f>AVERAGE(W48)</f>
        <v>60</v>
      </c>
      <c r="X49" s="31"/>
      <c r="Y49" s="31"/>
      <c r="Z49" s="31"/>
      <c r="AA49" s="31"/>
      <c r="AB49" s="31"/>
      <c r="AC49" s="31"/>
      <c r="AD49" s="31"/>
      <c r="AE49" s="31"/>
      <c r="AF49" s="31"/>
      <c r="AG49" s="31"/>
      <c r="AH49" s="31"/>
      <c r="AI49" s="31"/>
      <c r="AJ49">
        <f t="shared" si="19"/>
        <v>216</v>
      </c>
      <c r="AK49" s="6">
        <f t="shared" si="4"/>
        <v>8.8304316142145678E-2</v>
      </c>
      <c r="AL49" s="6">
        <f t="shared" si="5"/>
        <v>7.3791936408936056E-3</v>
      </c>
      <c r="AM49" s="6">
        <f t="shared" si="6"/>
        <v>2.0882506534128749E-3</v>
      </c>
      <c r="AN49" s="6">
        <f t="shared" si="7"/>
        <v>0.54789516822575102</v>
      </c>
      <c r="AO49" s="6">
        <f t="shared" si="8"/>
        <v>0.16281738389701275</v>
      </c>
      <c r="AP49" s="6">
        <f t="shared" si="9"/>
        <v>8.8304316142145678E-2</v>
      </c>
      <c r="AQ49" s="6">
        <f t="shared" si="10"/>
        <v>0.54789516822575102</v>
      </c>
      <c r="AR49" s="6">
        <f t="shared" si="11"/>
        <v>0.16281738389701275</v>
      </c>
      <c r="AS49" s="6">
        <f t="shared" si="12"/>
        <v>0.54789516822575102</v>
      </c>
      <c r="AT49" s="6">
        <f t="shared" si="13"/>
        <v>0.29918178593679412</v>
      </c>
      <c r="AU49" s="6">
        <f t="shared" si="14"/>
        <v>0.16281738389701275</v>
      </c>
      <c r="AV49" s="6">
        <f t="shared" si="15"/>
        <v>0.54789516822575102</v>
      </c>
      <c r="AW49" s="6">
        <f t="shared" si="16"/>
        <v>0.54789516822575102</v>
      </c>
      <c r="AX49" s="6">
        <f t="shared" si="17"/>
        <v>0.54232055797286771</v>
      </c>
      <c r="AY49" s="6">
        <f t="shared" si="18"/>
        <v>0.54789516822575102</v>
      </c>
    </row>
    <row r="50" spans="2:51" x14ac:dyDescent="0.25">
      <c r="E50" s="43" t="s">
        <v>262</v>
      </c>
      <c r="F50" s="6">
        <f>60*24*30*12*5</f>
        <v>2592000</v>
      </c>
      <c r="G50" t="s">
        <v>237</v>
      </c>
      <c r="T50" s="6">
        <f t="shared" ref="T50:T51" si="22">DAYS360("31-12-2009",U50)</f>
        <v>98</v>
      </c>
      <c r="U50" s="5">
        <v>40276</v>
      </c>
      <c r="V50" s="6" t="s">
        <v>340</v>
      </c>
      <c r="W50" s="34">
        <v>300</v>
      </c>
      <c r="X50" s="31"/>
      <c r="Y50" s="31"/>
      <c r="Z50" s="31"/>
      <c r="AA50" s="31"/>
      <c r="AB50" s="31"/>
      <c r="AC50" s="31"/>
      <c r="AD50" s="31"/>
      <c r="AE50" s="31"/>
      <c r="AF50" s="31"/>
      <c r="AG50" s="31"/>
      <c r="AH50" s="31"/>
      <c r="AI50" s="31"/>
      <c r="AJ50">
        <f t="shared" si="19"/>
        <v>221</v>
      </c>
      <c r="AK50" s="6">
        <f t="shared" si="4"/>
        <v>8.3480177758945562E-2</v>
      </c>
      <c r="AL50" s="6">
        <f t="shared" si="5"/>
        <v>6.5865389037192282E-3</v>
      </c>
      <c r="AM50" s="6">
        <f t="shared" si="6"/>
        <v>1.8102583405824968E-3</v>
      </c>
      <c r="AN50" s="6">
        <f t="shared" si="7"/>
        <v>0.54031721009244316</v>
      </c>
      <c r="AO50" s="6">
        <f t="shared" si="8"/>
        <v>0.15611804531597109</v>
      </c>
      <c r="AP50" s="6">
        <f t="shared" si="9"/>
        <v>8.3480177758945562E-2</v>
      </c>
      <c r="AQ50" s="6">
        <f t="shared" si="10"/>
        <v>0.54031721009244316</v>
      </c>
      <c r="AR50" s="6">
        <f t="shared" si="11"/>
        <v>0.15611804531597109</v>
      </c>
      <c r="AS50" s="6">
        <f t="shared" si="12"/>
        <v>0.54031721009244316</v>
      </c>
      <c r="AT50" s="6">
        <f t="shared" si="13"/>
        <v>0.29094039193381266</v>
      </c>
      <c r="AU50" s="6">
        <f t="shared" si="14"/>
        <v>0.15611804531597109</v>
      </c>
      <c r="AV50" s="6">
        <f t="shared" si="15"/>
        <v>0.54031721009244316</v>
      </c>
      <c r="AW50" s="6">
        <f t="shared" si="16"/>
        <v>0.54031721009244316</v>
      </c>
      <c r="AX50" s="6">
        <f t="shared" si="17"/>
        <v>0.53469310994365049</v>
      </c>
      <c r="AY50" s="6">
        <f t="shared" si="18"/>
        <v>0.54031721009244316</v>
      </c>
    </row>
    <row r="51" spans="2:51" x14ac:dyDescent="0.25">
      <c r="E51" s="43" t="s">
        <v>268</v>
      </c>
      <c r="F51" s="6">
        <v>518400</v>
      </c>
      <c r="G51" t="s">
        <v>237</v>
      </c>
      <c r="T51" s="6">
        <f t="shared" si="22"/>
        <v>210</v>
      </c>
      <c r="U51" s="5">
        <v>40389</v>
      </c>
      <c r="V51" s="6" t="s">
        <v>340</v>
      </c>
      <c r="W51" s="34">
        <v>120</v>
      </c>
      <c r="X51" s="6">
        <f>COUNT(W50:W51)</f>
        <v>2</v>
      </c>
      <c r="Y51" s="6">
        <f>SUM(W50:W51)</f>
        <v>420</v>
      </c>
      <c r="Z51" s="6">
        <f>($F$51-Y51)/X51</f>
        <v>258990</v>
      </c>
      <c r="AA51" s="6">
        <f>INT(Z51/60/24)</f>
        <v>179</v>
      </c>
      <c r="AB51" s="6">
        <f>Y51/X51</f>
        <v>210</v>
      </c>
      <c r="AC51" s="6">
        <f>Y51-W52</f>
        <v>210</v>
      </c>
      <c r="AD51" s="33">
        <f>SQRT((AC51*AC51)/COUNT(W50:W51))</f>
        <v>148.49242404917499</v>
      </c>
      <c r="AE51" s="6">
        <f>1/AA51</f>
        <v>5.5865921787709499E-3</v>
      </c>
      <c r="AF51" s="6">
        <f>AE51*EXP(-AE51*(365*1))</f>
        <v>7.2706698111458005E-4</v>
      </c>
      <c r="AG51" s="6">
        <f>1-EXP(-AE51*(365*1))</f>
        <v>0.86985501038049018</v>
      </c>
      <c r="AH51" s="6">
        <f>EXP(-AE51*(365*1))</f>
        <v>0.13014498961950982</v>
      </c>
      <c r="AI51" s="6">
        <f>$F$51/(Y51+$F$51)*100</f>
        <v>99.919047068347396</v>
      </c>
      <c r="AJ51">
        <f t="shared" si="19"/>
        <v>226</v>
      </c>
      <c r="AK51" s="6">
        <f t="shared" si="4"/>
        <v>7.8919586076031376E-2</v>
      </c>
      <c r="AL51" s="6">
        <f t="shared" si="5"/>
        <v>5.8790291787157003E-3</v>
      </c>
      <c r="AM51" s="6">
        <f t="shared" si="6"/>
        <v>1.5692729482894032E-3</v>
      </c>
      <c r="AN51" s="6">
        <f t="shared" si="7"/>
        <v>0.53284406297554965</v>
      </c>
      <c r="AO51" s="6">
        <f t="shared" si="8"/>
        <v>0.14969435996279248</v>
      </c>
      <c r="AP51" s="6">
        <f t="shared" si="9"/>
        <v>7.8919586076031376E-2</v>
      </c>
      <c r="AQ51" s="6">
        <f t="shared" si="10"/>
        <v>0.53284406297554965</v>
      </c>
      <c r="AR51" s="6">
        <f t="shared" si="11"/>
        <v>0.14969435996279248</v>
      </c>
      <c r="AS51" s="6">
        <f t="shared" si="12"/>
        <v>0.53284406297554965</v>
      </c>
      <c r="AT51" s="6">
        <f t="shared" si="13"/>
        <v>0.28292601902070036</v>
      </c>
      <c r="AU51" s="6">
        <f t="shared" si="14"/>
        <v>0.14969435996279248</v>
      </c>
      <c r="AV51" s="6">
        <f t="shared" si="15"/>
        <v>0.53284406297554965</v>
      </c>
      <c r="AW51" s="6">
        <f t="shared" si="16"/>
        <v>0.53284406297554965</v>
      </c>
      <c r="AX51" s="6">
        <f t="shared" si="17"/>
        <v>0.52717293788356834</v>
      </c>
      <c r="AY51" s="6">
        <f t="shared" si="18"/>
        <v>0.53284406297554965</v>
      </c>
    </row>
    <row r="52" spans="2:51" x14ac:dyDescent="0.25">
      <c r="T52" s="31"/>
      <c r="U52" s="31"/>
      <c r="V52" s="43" t="s">
        <v>235</v>
      </c>
      <c r="W52" s="6">
        <f>AVERAGE(W50:W51)</f>
        <v>210</v>
      </c>
      <c r="X52" s="31"/>
      <c r="Y52" s="31"/>
      <c r="Z52" s="31"/>
      <c r="AA52" s="31"/>
      <c r="AB52" s="31"/>
      <c r="AC52" s="31"/>
      <c r="AD52" s="31"/>
      <c r="AE52" s="31"/>
      <c r="AF52" s="31"/>
      <c r="AG52" s="31"/>
      <c r="AH52" s="31"/>
      <c r="AI52" s="31"/>
      <c r="AJ52">
        <f t="shared" si="19"/>
        <v>231</v>
      </c>
      <c r="AK52" s="6">
        <f t="shared" si="4"/>
        <v>7.4608143317528006E-2</v>
      </c>
      <c r="AL52" s="6">
        <f t="shared" si="5"/>
        <v>5.2475183991813846E-3</v>
      </c>
      <c r="AM52" s="6">
        <f t="shared" si="6"/>
        <v>1.3603680375478939E-3</v>
      </c>
      <c r="AN52" s="6">
        <f t="shared" si="7"/>
        <v>0.52547427723006446</v>
      </c>
      <c r="AO52" s="6">
        <f t="shared" si="8"/>
        <v>0.14353498571748824</v>
      </c>
      <c r="AP52" s="6">
        <f t="shared" si="9"/>
        <v>7.4608143317528006E-2</v>
      </c>
      <c r="AQ52" s="6">
        <f t="shared" si="10"/>
        <v>0.52547427723006446</v>
      </c>
      <c r="AR52" s="6">
        <f t="shared" si="11"/>
        <v>0.14353498571748824</v>
      </c>
      <c r="AS52" s="6">
        <f t="shared" si="12"/>
        <v>0.52547427723006446</v>
      </c>
      <c r="AT52" s="6">
        <f t="shared" si="13"/>
        <v>0.27513241357395296</v>
      </c>
      <c r="AU52" s="6">
        <f t="shared" si="14"/>
        <v>0.14353498571748824</v>
      </c>
      <c r="AV52" s="6">
        <f t="shared" si="15"/>
        <v>0.52547427723006446</v>
      </c>
      <c r="AW52" s="6">
        <f t="shared" si="16"/>
        <v>0.52547427723006446</v>
      </c>
      <c r="AX52" s="6">
        <f t="shared" si="17"/>
        <v>0.51975853301360231</v>
      </c>
      <c r="AY52" s="6">
        <f t="shared" si="18"/>
        <v>0.52547427723006446</v>
      </c>
    </row>
    <row r="53" spans="2:51" x14ac:dyDescent="0.25">
      <c r="B53" s="32" t="s">
        <v>193</v>
      </c>
      <c r="T53" s="6">
        <f>DAYS360("31-12-2009",U53)</f>
        <v>788</v>
      </c>
      <c r="U53" s="5">
        <v>40976</v>
      </c>
      <c r="V53" s="6" t="s">
        <v>340</v>
      </c>
      <c r="W53" s="33">
        <v>240</v>
      </c>
      <c r="X53" s="31"/>
      <c r="Y53" s="31"/>
      <c r="Z53" s="31"/>
      <c r="AA53" s="31"/>
      <c r="AB53" s="31"/>
      <c r="AC53" s="31"/>
      <c r="AD53" s="31"/>
      <c r="AE53" s="31"/>
      <c r="AF53" s="31"/>
      <c r="AG53" s="31"/>
      <c r="AH53" s="31"/>
      <c r="AI53" s="31"/>
      <c r="AJ53">
        <f t="shared" si="19"/>
        <v>236</v>
      </c>
      <c r="AK53" s="6">
        <f t="shared" si="4"/>
        <v>7.0532238270055503E-2</v>
      </c>
      <c r="AL53" s="6">
        <f t="shared" si="5"/>
        <v>4.683842946287705E-3</v>
      </c>
      <c r="AM53" s="6">
        <f t="shared" si="6"/>
        <v>1.179272987276794E-3</v>
      </c>
      <c r="AN53" s="6">
        <f t="shared" si="7"/>
        <v>0.51820642326107513</v>
      </c>
      <c r="AO53" s="6">
        <f t="shared" si="8"/>
        <v>0.13762904714673543</v>
      </c>
      <c r="AP53" s="6">
        <f t="shared" si="9"/>
        <v>7.0532238270055503E-2</v>
      </c>
      <c r="AQ53" s="6">
        <f t="shared" si="10"/>
        <v>0.51820642326107513</v>
      </c>
      <c r="AR53" s="6">
        <f t="shared" si="11"/>
        <v>0.13762904714673543</v>
      </c>
      <c r="AS53" s="6">
        <f t="shared" si="12"/>
        <v>0.51820642326107513</v>
      </c>
      <c r="AT53" s="6">
        <f t="shared" si="13"/>
        <v>0.26755349423514935</v>
      </c>
      <c r="AU53" s="6">
        <f t="shared" si="14"/>
        <v>0.13762904714673543</v>
      </c>
      <c r="AV53" s="6">
        <f t="shared" si="15"/>
        <v>0.51820642326107513</v>
      </c>
      <c r="AW53" s="6">
        <f t="shared" si="16"/>
        <v>0.51820642326107513</v>
      </c>
      <c r="AX53" s="6">
        <f t="shared" si="17"/>
        <v>0.51244840777490208</v>
      </c>
      <c r="AY53" s="6">
        <f t="shared" si="18"/>
        <v>0.51820642326107513</v>
      </c>
    </row>
    <row r="54" spans="2:51" x14ac:dyDescent="0.25">
      <c r="B54" t="s">
        <v>256</v>
      </c>
      <c r="T54" s="6">
        <f>DAYS360("31-12-2009",U54)</f>
        <v>792</v>
      </c>
      <c r="U54" s="5">
        <v>40980</v>
      </c>
      <c r="V54" s="6" t="s">
        <v>340</v>
      </c>
      <c r="W54" s="33">
        <v>30</v>
      </c>
      <c r="X54" s="31"/>
      <c r="Y54" s="31"/>
      <c r="Z54" s="31"/>
      <c r="AA54" s="31"/>
      <c r="AB54" s="31"/>
      <c r="AC54" s="31"/>
      <c r="AD54" s="31"/>
      <c r="AE54" s="31"/>
      <c r="AF54" s="31"/>
      <c r="AG54" s="31"/>
      <c r="AH54" s="31"/>
      <c r="AI54" s="31"/>
      <c r="AJ54">
        <f t="shared" si="19"/>
        <v>241</v>
      </c>
      <c r="AK54" s="6">
        <f t="shared" si="4"/>
        <v>6.6679003312164337E-2</v>
      </c>
      <c r="AL54" s="6">
        <f t="shared" si="5"/>
        <v>4.1807161169575904E-3</v>
      </c>
      <c r="AM54" s="6">
        <f t="shared" si="6"/>
        <v>1.0222856904426303E-3</v>
      </c>
      <c r="AN54" s="6">
        <f t="shared" si="7"/>
        <v>0.51103909124644864</v>
      </c>
      <c r="AO54" s="6">
        <f t="shared" si="8"/>
        <v>0.13196611630143124</v>
      </c>
      <c r="AP54" s="6">
        <f t="shared" si="9"/>
        <v>6.6679003312164337E-2</v>
      </c>
      <c r="AQ54" s="6">
        <f t="shared" si="10"/>
        <v>0.51103909124644864</v>
      </c>
      <c r="AR54" s="6">
        <f t="shared" si="11"/>
        <v>0.13196611630143124</v>
      </c>
      <c r="AS54" s="6">
        <f t="shared" si="12"/>
        <v>0.51103909124644864</v>
      </c>
      <c r="AT54" s="6">
        <f t="shared" si="13"/>
        <v>0.26018334716566116</v>
      </c>
      <c r="AU54" s="6">
        <f t="shared" si="14"/>
        <v>0.13196611630143124</v>
      </c>
      <c r="AV54" s="6">
        <f t="shared" si="15"/>
        <v>0.51103909124644864</v>
      </c>
      <c r="AW54" s="6">
        <f t="shared" si="16"/>
        <v>0.51103909124644864</v>
      </c>
      <c r="AX54" s="6">
        <f t="shared" si="17"/>
        <v>0.50524109553033514</v>
      </c>
      <c r="AY54" s="6">
        <f t="shared" si="18"/>
        <v>0.51103909124644864</v>
      </c>
    </row>
    <row r="55" spans="2:51" x14ac:dyDescent="0.25">
      <c r="B55" t="s">
        <v>258</v>
      </c>
      <c r="T55" s="6">
        <f>DAYS360("31-12-2009",U55)</f>
        <v>819</v>
      </c>
      <c r="U55" s="5">
        <v>41008</v>
      </c>
      <c r="V55" s="6" t="s">
        <v>340</v>
      </c>
      <c r="W55" s="33">
        <v>60</v>
      </c>
      <c r="X55" s="6">
        <f>COUNT(W53:W55)</f>
        <v>3</v>
      </c>
      <c r="Y55" s="6">
        <f>SUM(W53:W55)</f>
        <v>330</v>
      </c>
      <c r="Z55" s="6">
        <f>($F$51-Y55)/X55</f>
        <v>172690</v>
      </c>
      <c r="AA55" s="6">
        <f>INT(Z55/60/24)</f>
        <v>119</v>
      </c>
      <c r="AB55" s="6">
        <f>Y55/X55</f>
        <v>110</v>
      </c>
      <c r="AC55" s="6">
        <f>Y55-W56</f>
        <v>220</v>
      </c>
      <c r="AD55" s="33">
        <f>SQRT((AC55*AC55)/COUNT(W53:W55))</f>
        <v>127.01705922171767</v>
      </c>
      <c r="AE55" s="6">
        <f>1/AA55</f>
        <v>8.4033613445378148E-3</v>
      </c>
      <c r="AF55" s="6">
        <f>AE55*EXP(-AE55*(365*1))</f>
        <v>3.9117701217351283E-4</v>
      </c>
      <c r="AG55" s="6">
        <f>1-EXP(-AE55*(365*1))</f>
        <v>0.95344993555135193</v>
      </c>
      <c r="AH55" s="6">
        <f>EXP(-AE55*(365*1))</f>
        <v>4.6550064448648031E-2</v>
      </c>
      <c r="AI55" s="6">
        <f>$F$51/(Y55+$F$51)*100</f>
        <v>99.936383089468507</v>
      </c>
      <c r="AJ55">
        <f t="shared" si="19"/>
        <v>246</v>
      </c>
      <c r="AK55" s="6">
        <f t="shared" si="4"/>
        <v>6.303627379128858E-2</v>
      </c>
      <c r="AL55" s="6">
        <f t="shared" si="5"/>
        <v>3.7316339277434314E-3</v>
      </c>
      <c r="AM55" s="6">
        <f t="shared" si="6"/>
        <v>8.8619687227557145E-4</v>
      </c>
      <c r="AN55" s="6">
        <f t="shared" si="7"/>
        <v>0.50397089086335345</v>
      </c>
      <c r="AO55" s="6">
        <f t="shared" si="8"/>
        <v>0.12653619430435736</v>
      </c>
      <c r="AP55" s="6">
        <f t="shared" si="9"/>
        <v>6.303627379128858E-2</v>
      </c>
      <c r="AQ55" s="6">
        <f t="shared" si="10"/>
        <v>0.50397089086335345</v>
      </c>
      <c r="AR55" s="6">
        <f t="shared" si="11"/>
        <v>0.12653619430435736</v>
      </c>
      <c r="AS55" s="6">
        <f t="shared" si="12"/>
        <v>0.50397089086335345</v>
      </c>
      <c r="AT55" s="6">
        <f t="shared" si="13"/>
        <v>0.2530162214320788</v>
      </c>
      <c r="AU55" s="6">
        <f t="shared" si="14"/>
        <v>0.12653619430435736</v>
      </c>
      <c r="AV55" s="6">
        <f t="shared" si="15"/>
        <v>0.50397089086335345</v>
      </c>
      <c r="AW55" s="6">
        <f t="shared" si="16"/>
        <v>0.50397089086335345</v>
      </c>
      <c r="AX55" s="6">
        <f t="shared" si="17"/>
        <v>0.49813515027023453</v>
      </c>
      <c r="AY55" s="6">
        <f t="shared" si="18"/>
        <v>0.50397089086335345</v>
      </c>
    </row>
    <row r="56" spans="2:51" x14ac:dyDescent="0.25">
      <c r="T56" s="31"/>
      <c r="U56" s="31"/>
      <c r="V56" s="43" t="s">
        <v>235</v>
      </c>
      <c r="W56" s="6">
        <f>AVERAGE(W53:W55)</f>
        <v>110</v>
      </c>
      <c r="X56" s="31"/>
      <c r="Y56" s="31"/>
      <c r="Z56" s="31"/>
      <c r="AA56" s="31"/>
      <c r="AB56" s="31"/>
      <c r="AC56" s="31"/>
      <c r="AD56" s="31"/>
      <c r="AE56" s="31"/>
      <c r="AF56" s="31"/>
      <c r="AG56" s="31"/>
      <c r="AH56" s="31"/>
      <c r="AI56" s="31"/>
      <c r="AJ56">
        <f t="shared" si="19"/>
        <v>251</v>
      </c>
      <c r="AK56" s="6">
        <f t="shared" si="4"/>
        <v>5.9592549619969994E-2</v>
      </c>
      <c r="AL56" s="6">
        <f t="shared" si="5"/>
        <v>3.3307910370196309E-3</v>
      </c>
      <c r="AM56" s="6">
        <f t="shared" si="6"/>
        <v>7.6822448340342772E-4</v>
      </c>
      <c r="AN56" s="6">
        <f t="shared" si="7"/>
        <v>0.4970004510185641</v>
      </c>
      <c r="AO56" s="6">
        <f t="shared" si="8"/>
        <v>0.12132969369544465</v>
      </c>
      <c r="AP56" s="6">
        <f t="shared" si="9"/>
        <v>5.9592549619969994E-2</v>
      </c>
      <c r="AQ56" s="6">
        <f t="shared" si="10"/>
        <v>0.4970004510185641</v>
      </c>
      <c r="AR56" s="6">
        <f t="shared" si="11"/>
        <v>0.12132969369544465</v>
      </c>
      <c r="AS56" s="6">
        <f t="shared" si="12"/>
        <v>0.4970004510185641</v>
      </c>
      <c r="AT56" s="6">
        <f t="shared" si="13"/>
        <v>0.24604652451875172</v>
      </c>
      <c r="AU56" s="6">
        <f t="shared" si="14"/>
        <v>0.12132969369544465</v>
      </c>
      <c r="AV56" s="6">
        <f t="shared" si="15"/>
        <v>0.4970004510185641</v>
      </c>
      <c r="AW56" s="6">
        <f t="shared" si="16"/>
        <v>0.4970004510185641</v>
      </c>
      <c r="AX56" s="6">
        <f t="shared" si="17"/>
        <v>0.49112914632228416</v>
      </c>
      <c r="AY56" s="6">
        <f t="shared" si="18"/>
        <v>0.4970004510185641</v>
      </c>
    </row>
    <row r="57" spans="2:51" x14ac:dyDescent="0.25">
      <c r="B57" s="37" t="s">
        <v>209</v>
      </c>
      <c r="T57" s="6">
        <f>DAYS360("31-12-2009",U57)</f>
        <v>1228</v>
      </c>
      <c r="U57" s="5">
        <v>41422</v>
      </c>
      <c r="V57" s="6" t="s">
        <v>340</v>
      </c>
      <c r="W57" s="33">
        <v>180</v>
      </c>
      <c r="X57" s="6">
        <f>COUNT(W57)</f>
        <v>1</v>
      </c>
      <c r="Y57" s="6">
        <f>SUM(W57)</f>
        <v>180</v>
      </c>
      <c r="Z57" s="6">
        <f>($F$51-Y57)/X57</f>
        <v>518220</v>
      </c>
      <c r="AA57" s="6">
        <f>INT(Z57/60/24)</f>
        <v>359</v>
      </c>
      <c r="AB57" s="6">
        <f>Y57/X57</f>
        <v>180</v>
      </c>
      <c r="AC57" s="6">
        <f>Y57-W58</f>
        <v>0</v>
      </c>
      <c r="AD57" s="33">
        <f>SQRT((AC57*AC57)/COUNT(W57))</f>
        <v>0</v>
      </c>
      <c r="AE57" s="6">
        <f>1/AA57</f>
        <v>2.7855153203342618E-3</v>
      </c>
      <c r="AF57" s="6">
        <f>AE57*EXP(-AE57*(365*1))</f>
        <v>1.007749673042332E-3</v>
      </c>
      <c r="AG57" s="6">
        <f>1-EXP(-AE57*(365*1))</f>
        <v>0.63821786737780273</v>
      </c>
      <c r="AH57" s="6">
        <f>EXP(-AE57*(365*1))</f>
        <v>0.36178213262219722</v>
      </c>
      <c r="AI57" s="6">
        <f>$F$51/(Y57+$F$51)*100</f>
        <v>99.965289829920167</v>
      </c>
      <c r="AJ57">
        <f t="shared" si="19"/>
        <v>256</v>
      </c>
      <c r="AK57" s="6">
        <f t="shared" si="4"/>
        <v>5.633695897011224E-2</v>
      </c>
      <c r="AL57" s="6">
        <f t="shared" si="5"/>
        <v>2.9730056986053579E-3</v>
      </c>
      <c r="AM57" s="6">
        <f t="shared" si="6"/>
        <v>6.6595682670943137E-4</v>
      </c>
      <c r="AN57" s="6">
        <f t="shared" si="7"/>
        <v>0.49012641958249575</v>
      </c>
      <c r="AO57" s="6">
        <f t="shared" si="8"/>
        <v>0.11633742150346545</v>
      </c>
      <c r="AP57" s="6">
        <f t="shared" si="9"/>
        <v>5.633695897011224E-2</v>
      </c>
      <c r="AQ57" s="6">
        <f t="shared" si="10"/>
        <v>0.49012641958249575</v>
      </c>
      <c r="AR57" s="6">
        <f t="shared" si="11"/>
        <v>0.11633742150346545</v>
      </c>
      <c r="AS57" s="6">
        <f t="shared" si="12"/>
        <v>0.49012641958249575</v>
      </c>
      <c r="AT57" s="6">
        <f t="shared" si="13"/>
        <v>0.23926881796394273</v>
      </c>
      <c r="AU57" s="6">
        <f t="shared" si="14"/>
        <v>0.11633742150346545</v>
      </c>
      <c r="AV57" s="6">
        <f t="shared" si="15"/>
        <v>0.49012641958249575</v>
      </c>
      <c r="AW57" s="6">
        <f t="shared" si="16"/>
        <v>0.49012641958249575</v>
      </c>
      <c r="AX57" s="6">
        <f t="shared" si="17"/>
        <v>0.48422167806548527</v>
      </c>
      <c r="AY57" s="6">
        <f t="shared" si="18"/>
        <v>0.49012641958249575</v>
      </c>
    </row>
    <row r="58" spans="2:51" x14ac:dyDescent="0.25">
      <c r="B58" s="37" t="s">
        <v>210</v>
      </c>
      <c r="T58" s="31"/>
      <c r="U58" s="31"/>
      <c r="V58" s="43" t="s">
        <v>235</v>
      </c>
      <c r="W58" s="6">
        <f>AVERAGE(W57)</f>
        <v>180</v>
      </c>
      <c r="X58" s="31"/>
      <c r="Y58" s="31"/>
      <c r="Z58" s="31"/>
      <c r="AA58" s="31"/>
      <c r="AB58" s="31"/>
      <c r="AC58" s="31"/>
      <c r="AD58" s="31"/>
      <c r="AE58" s="31"/>
      <c r="AF58" s="31"/>
      <c r="AG58" s="31"/>
      <c r="AH58" s="31"/>
      <c r="AI58" s="31"/>
      <c r="AJ58">
        <f t="shared" si="19"/>
        <v>261</v>
      </c>
      <c r="AK58" s="6">
        <f t="shared" si="4"/>
        <v>5.3259223950648416E-2</v>
      </c>
      <c r="AL58" s="6">
        <f t="shared" si="5"/>
        <v>2.6536527766835827E-3</v>
      </c>
      <c r="AM58" s="6">
        <f t="shared" si="6"/>
        <v>5.7730325526216735E-4</v>
      </c>
      <c r="AN58" s="6">
        <f t="shared" si="7"/>
        <v>0.48334746312691729</v>
      </c>
      <c r="AO58" s="6">
        <f t="shared" si="8"/>
        <v>0.11155056301426348</v>
      </c>
      <c r="AP58" s="6">
        <f t="shared" si="9"/>
        <v>5.3259223950648416E-2</v>
      </c>
      <c r="AQ58" s="6">
        <f t="shared" si="10"/>
        <v>0.48334746312691729</v>
      </c>
      <c r="AR58" s="6">
        <f t="shared" si="11"/>
        <v>0.11155056301426348</v>
      </c>
      <c r="AS58" s="6">
        <f t="shared" si="12"/>
        <v>0.48334746312691729</v>
      </c>
      <c r="AT58" s="6">
        <f t="shared" si="13"/>
        <v>0.23267781311619076</v>
      </c>
      <c r="AU58" s="6">
        <f t="shared" si="14"/>
        <v>0.11155056301426348</v>
      </c>
      <c r="AV58" s="6">
        <f t="shared" si="15"/>
        <v>0.48334746312691729</v>
      </c>
      <c r="AW58" s="6">
        <f t="shared" si="16"/>
        <v>0.48334746312691729</v>
      </c>
      <c r="AX58" s="6">
        <f t="shared" si="17"/>
        <v>0.47741135964814496</v>
      </c>
      <c r="AY58" s="6">
        <f t="shared" si="18"/>
        <v>0.48334746312691729</v>
      </c>
    </row>
    <row r="59" spans="2:51" x14ac:dyDescent="0.25">
      <c r="B59" s="40" t="s">
        <v>222</v>
      </c>
      <c r="T59" s="6">
        <f>DAYS360("31-12-2009",U59)</f>
        <v>1537</v>
      </c>
      <c r="U59" s="5">
        <v>41736</v>
      </c>
      <c r="V59" s="6" t="s">
        <v>340</v>
      </c>
      <c r="W59" s="33">
        <f>12*60</f>
        <v>720</v>
      </c>
      <c r="X59" s="6">
        <f>COUNT(W59)</f>
        <v>1</v>
      </c>
      <c r="Y59" s="6">
        <f>SUM(W59)</f>
        <v>720</v>
      </c>
      <c r="Z59" s="6">
        <f>($F$51-Y59)/X59</f>
        <v>517680</v>
      </c>
      <c r="AA59" s="6">
        <f>INT(Z59/60/24)</f>
        <v>359</v>
      </c>
      <c r="AB59" s="6">
        <f>Y59/X59</f>
        <v>720</v>
      </c>
      <c r="AC59" s="6">
        <f>Y59-W60</f>
        <v>0</v>
      </c>
      <c r="AD59" s="33">
        <f>SQRT((AC59*AC59)/COUNT(W59))</f>
        <v>0</v>
      </c>
      <c r="AE59" s="6">
        <f>1/AA59</f>
        <v>2.7855153203342618E-3</v>
      </c>
      <c r="AF59" s="6">
        <f>AE59*EXP(-AE59*(365*1))</f>
        <v>1.007749673042332E-3</v>
      </c>
      <c r="AG59" s="6">
        <f>1-EXP(-AE59*(365*1))</f>
        <v>0.63821786737780273</v>
      </c>
      <c r="AH59" s="6">
        <f>EXP(-AE59*(365*1))</f>
        <v>0.36178213262219722</v>
      </c>
      <c r="AI59" s="6">
        <f>$F$51/(Y59+$F$51)*100</f>
        <v>99.861303744798889</v>
      </c>
      <c r="AJ59">
        <f t="shared" si="19"/>
        <v>266</v>
      </c>
      <c r="AK59" s="6">
        <f t="shared" si="4"/>
        <v>5.0349628160266141E-2</v>
      </c>
      <c r="AL59" s="6">
        <f t="shared" si="5"/>
        <v>2.368603956091923E-3</v>
      </c>
      <c r="AM59" s="6">
        <f t="shared" si="6"/>
        <v>5.0045143344061083E-4</v>
      </c>
      <c r="AN59" s="6">
        <f t="shared" si="7"/>
        <v>0.47666226666629236</v>
      </c>
      <c r="AO59" s="6">
        <f t="shared" si="8"/>
        <v>0.10696066620686187</v>
      </c>
      <c r="AP59" s="6">
        <f t="shared" si="9"/>
        <v>5.0349628160266141E-2</v>
      </c>
      <c r="AQ59" s="6">
        <f t="shared" si="10"/>
        <v>0.47666226666629236</v>
      </c>
      <c r="AR59" s="6">
        <f t="shared" si="11"/>
        <v>0.10696066620686187</v>
      </c>
      <c r="AS59" s="6">
        <f t="shared" si="12"/>
        <v>0.47666226666629236</v>
      </c>
      <c r="AT59" s="6">
        <f t="shared" si="13"/>
        <v>0.22626836700757058</v>
      </c>
      <c r="AU59" s="6">
        <f t="shared" si="14"/>
        <v>0.10696066620686187</v>
      </c>
      <c r="AV59" s="6">
        <f t="shared" si="15"/>
        <v>0.47666226666629236</v>
      </c>
      <c r="AW59" s="6">
        <f t="shared" si="16"/>
        <v>0.47666226666629236</v>
      </c>
      <c r="AX59" s="6">
        <f t="shared" si="17"/>
        <v>0.47069682470983204</v>
      </c>
      <c r="AY59" s="6">
        <f t="shared" si="18"/>
        <v>0.47666226666629236</v>
      </c>
    </row>
    <row r="60" spans="2:51" x14ac:dyDescent="0.25">
      <c r="B60" s="40" t="s">
        <v>232</v>
      </c>
      <c r="T60" s="31"/>
      <c r="U60" s="31"/>
      <c r="V60" s="44" t="s">
        <v>235</v>
      </c>
      <c r="W60" s="6">
        <f>AVERAGE(W59)</f>
        <v>720</v>
      </c>
      <c r="X60" s="31"/>
      <c r="Y60" s="31"/>
      <c r="Z60" s="31"/>
      <c r="AA60" s="31"/>
      <c r="AB60" s="31"/>
      <c r="AC60" s="31"/>
      <c r="AD60" s="31"/>
      <c r="AE60" s="31"/>
      <c r="AF60" s="31"/>
      <c r="AG60" s="31"/>
      <c r="AH60" s="31"/>
      <c r="AI60" s="31"/>
      <c r="AJ60">
        <f t="shared" si="19"/>
        <v>271</v>
      </c>
      <c r="AK60" s="6">
        <f t="shared" si="4"/>
        <v>4.7598986012754328E-2</v>
      </c>
      <c r="AL60" s="6">
        <f t="shared" si="5"/>
        <v>2.1141743750762291E-3</v>
      </c>
      <c r="AM60" s="6">
        <f t="shared" si="6"/>
        <v>4.338302875479644E-4</v>
      </c>
      <c r="AN60" s="6">
        <f t="shared" si="7"/>
        <v>0.47006953340269758</v>
      </c>
      <c r="AO60" s="6">
        <f t="shared" si="8"/>
        <v>0.10255962682996832</v>
      </c>
      <c r="AP60" s="6">
        <f t="shared" si="9"/>
        <v>4.7598986012754328E-2</v>
      </c>
      <c r="AQ60" s="6">
        <f t="shared" si="10"/>
        <v>0.47006953340269758</v>
      </c>
      <c r="AR60" s="6">
        <f t="shared" si="11"/>
        <v>0.10255962682996832</v>
      </c>
      <c r="AS60" s="6">
        <f t="shared" si="12"/>
        <v>0.47006953340269758</v>
      </c>
      <c r="AT60" s="6">
        <f t="shared" si="13"/>
        <v>0.22003547834062961</v>
      </c>
      <c r="AU60" s="6">
        <f t="shared" si="14"/>
        <v>0.10255962682996832</v>
      </c>
      <c r="AV60" s="6">
        <f t="shared" si="15"/>
        <v>0.47006953340269758</v>
      </c>
      <c r="AW60" s="6">
        <f t="shared" si="16"/>
        <v>0.47006953340269758</v>
      </c>
      <c r="AX60" s="6">
        <f t="shared" si="17"/>
        <v>0.46407672610724243</v>
      </c>
      <c r="AY60" s="6">
        <f t="shared" si="18"/>
        <v>0.47006953340269758</v>
      </c>
    </row>
    <row r="61" spans="2:51" x14ac:dyDescent="0.25">
      <c r="B61" s="40"/>
      <c r="T61" s="6">
        <f>DAYS360("31-12-2009",U61)</f>
        <v>1532</v>
      </c>
      <c r="U61" s="5">
        <v>41731</v>
      </c>
      <c r="V61" s="6" t="s">
        <v>341</v>
      </c>
      <c r="W61" s="33">
        <f>7*24*60</f>
        <v>10080</v>
      </c>
      <c r="X61" s="6">
        <f>COUNT(W61)</f>
        <v>1</v>
      </c>
      <c r="Y61" s="6">
        <f>SUM(W61)</f>
        <v>10080</v>
      </c>
      <c r="Z61" s="6">
        <f>($F$51-Y61)/X61</f>
        <v>508320</v>
      </c>
      <c r="AA61" s="6">
        <f>INT(Z61/60/24)</f>
        <v>353</v>
      </c>
      <c r="AB61" s="6">
        <f>Y61/X61</f>
        <v>10080</v>
      </c>
      <c r="AC61" s="6">
        <f>Y61-W62</f>
        <v>0</v>
      </c>
      <c r="AD61" s="33">
        <f>SQRT((AC61*AC61)/COUNT(W61))</f>
        <v>0</v>
      </c>
      <c r="AE61" s="6">
        <f>1/AA61</f>
        <v>2.8328611898016999E-3</v>
      </c>
      <c r="AF61" s="6">
        <f>AE61*EXP(-AE61*(365*1))</f>
        <v>1.007319545642125E-3</v>
      </c>
      <c r="AG61" s="6">
        <f>1-EXP(-AE61*(365*1))</f>
        <v>0.64441620038832981</v>
      </c>
      <c r="AH61" s="6">
        <f>EXP(-AE61*(365*1))</f>
        <v>0.35558379961167014</v>
      </c>
      <c r="AI61" s="6">
        <f>$F$51/(Y61+$F$51)*100</f>
        <v>98.09264305177112</v>
      </c>
      <c r="AJ61">
        <f t="shared" si="19"/>
        <v>276</v>
      </c>
      <c r="AK61" s="6">
        <f t="shared" si="4"/>
        <v>4.4998613738131875E-2</v>
      </c>
      <c r="AL61" s="6">
        <f t="shared" si="5"/>
        <v>1.8870749906218167E-3</v>
      </c>
      <c r="AM61" s="6">
        <f t="shared" si="6"/>
        <v>3.7607788851759695E-4</v>
      </c>
      <c r="AN61" s="6">
        <f t="shared" si="7"/>
        <v>0.46356798447426928</v>
      </c>
      <c r="AO61" s="6">
        <f t="shared" si="8"/>
        <v>9.8339674092526932E-2</v>
      </c>
      <c r="AP61" s="6">
        <f t="shared" si="9"/>
        <v>4.4998613738131875E-2</v>
      </c>
      <c r="AQ61" s="6">
        <f t="shared" si="10"/>
        <v>0.46356798447426928</v>
      </c>
      <c r="AR61" s="6">
        <f t="shared" si="11"/>
        <v>9.8339674092526932E-2</v>
      </c>
      <c r="AS61" s="6">
        <f t="shared" si="12"/>
        <v>0.46356798447426928</v>
      </c>
      <c r="AT61" s="6">
        <f t="shared" si="13"/>
        <v>0.21397428358587031</v>
      </c>
      <c r="AU61" s="6">
        <f t="shared" si="14"/>
        <v>9.8339674092526932E-2</v>
      </c>
      <c r="AV61" s="6">
        <f t="shared" si="15"/>
        <v>0.46356798447426928</v>
      </c>
      <c r="AW61" s="6">
        <f t="shared" si="16"/>
        <v>0.46356798447426928</v>
      </c>
      <c r="AX61" s="6">
        <f t="shared" si="17"/>
        <v>0.45754973564392054</v>
      </c>
      <c r="AY61" s="6">
        <f t="shared" si="18"/>
        <v>0.46356798447426928</v>
      </c>
    </row>
    <row r="62" spans="2:51" x14ac:dyDescent="0.25">
      <c r="B62" t="s">
        <v>234</v>
      </c>
      <c r="T62" s="31"/>
      <c r="U62" s="31"/>
      <c r="V62" s="43" t="s">
        <v>235</v>
      </c>
      <c r="W62" s="6">
        <f>AVERAGE(W61)</f>
        <v>10080</v>
      </c>
      <c r="X62" s="31"/>
      <c r="Y62" s="31"/>
      <c r="Z62" s="31"/>
      <c r="AA62" s="31"/>
      <c r="AB62" s="31"/>
      <c r="AC62" s="31"/>
      <c r="AD62" s="31"/>
      <c r="AE62" s="31"/>
      <c r="AF62" s="31"/>
      <c r="AG62" s="31"/>
      <c r="AH62" s="31"/>
      <c r="AI62" s="31"/>
      <c r="AJ62">
        <f t="shared" si="19"/>
        <v>281</v>
      </c>
      <c r="AK62" s="6">
        <f t="shared" si="4"/>
        <v>4.2540301968008676E-2</v>
      </c>
      <c r="AL62" s="6">
        <f t="shared" si="5"/>
        <v>1.6843700605830719E-3</v>
      </c>
      <c r="AM62" s="6">
        <f t="shared" si="6"/>
        <v>3.2601361014061728E-4</v>
      </c>
      <c r="AN62" s="6">
        <f t="shared" si="7"/>
        <v>0.45715635870712901</v>
      </c>
      <c r="AO62" s="6">
        <f t="shared" si="8"/>
        <v>9.4293356943051951E-2</v>
      </c>
      <c r="AP62" s="6">
        <f t="shared" si="9"/>
        <v>4.2540301968008676E-2</v>
      </c>
      <c r="AQ62" s="6">
        <f t="shared" si="10"/>
        <v>0.45715635870712901</v>
      </c>
      <c r="AR62" s="6">
        <f t="shared" si="11"/>
        <v>9.4293356943051951E-2</v>
      </c>
      <c r="AS62" s="6">
        <f t="shared" si="12"/>
        <v>0.45715635870712901</v>
      </c>
      <c r="AT62" s="6">
        <f t="shared" si="13"/>
        <v>0.20808005318673303</v>
      </c>
      <c r="AU62" s="6">
        <f t="shared" si="14"/>
        <v>9.4293356943051951E-2</v>
      </c>
      <c r="AV62" s="6">
        <f t="shared" si="15"/>
        <v>0.45715635870712901</v>
      </c>
      <c r="AW62" s="6">
        <f t="shared" si="16"/>
        <v>0.45715635870712901</v>
      </c>
      <c r="AX62" s="6">
        <f t="shared" si="17"/>
        <v>0.45111454380378252</v>
      </c>
      <c r="AY62" s="6">
        <f t="shared" si="18"/>
        <v>0.45715635870712901</v>
      </c>
    </row>
    <row r="63" spans="2:51" x14ac:dyDescent="0.25">
      <c r="T63" s="6">
        <f>DAYS360("31-12-2009",U63)</f>
        <v>1994</v>
      </c>
      <c r="U63" s="5">
        <v>42199</v>
      </c>
      <c r="V63" s="6" t="s">
        <v>341</v>
      </c>
      <c r="W63" s="30">
        <v>480</v>
      </c>
      <c r="X63" s="6">
        <f>COUNT(W63)</f>
        <v>1</v>
      </c>
      <c r="Y63" s="6">
        <f>SUM(W63)</f>
        <v>480</v>
      </c>
      <c r="Z63" s="6">
        <f>($F$51-Y63)/X63</f>
        <v>517920</v>
      </c>
      <c r="AA63" s="6">
        <f>INT(Z63/60/24)</f>
        <v>359</v>
      </c>
      <c r="AB63" s="6">
        <f>Y63/X63</f>
        <v>480</v>
      </c>
      <c r="AC63" s="6">
        <f>Y63-W64</f>
        <v>0</v>
      </c>
      <c r="AD63" s="33">
        <f>SQRT((AC63*AC63)/COUNT(W63))</f>
        <v>0</v>
      </c>
      <c r="AE63" s="6">
        <f>1/AA63</f>
        <v>2.7855153203342618E-3</v>
      </c>
      <c r="AF63" s="6">
        <f>AE63*EXP(-AE63*(365*1))</f>
        <v>1.007749673042332E-3</v>
      </c>
      <c r="AG63" s="6">
        <f>1-EXP(-AE63*(365*1))</f>
        <v>0.63821786737780273</v>
      </c>
      <c r="AH63" s="6">
        <f>EXP(-AE63*(365*1))</f>
        <v>0.36178213262219722</v>
      </c>
      <c r="AI63" s="6">
        <f>$F$51/(Y63+$F$51)*100</f>
        <v>99.90749306197965</v>
      </c>
      <c r="AJ63">
        <f t="shared" si="19"/>
        <v>286</v>
      </c>
      <c r="AK63" s="6">
        <f t="shared" si="4"/>
        <v>4.0216289818631464E-2</v>
      </c>
      <c r="AL63" s="6">
        <f t="shared" si="5"/>
        <v>1.5034391929775724E-3</v>
      </c>
      <c r="AM63" s="6">
        <f t="shared" si="6"/>
        <v>2.8261399364867297E-4</v>
      </c>
      <c r="AN63" s="6">
        <f t="shared" si="7"/>
        <v>0.45083341237074037</v>
      </c>
      <c r="AO63" s="6">
        <f t="shared" si="8"/>
        <v>9.0413530913516352E-2</v>
      </c>
      <c r="AP63" s="6">
        <f t="shared" si="9"/>
        <v>4.0216289818631464E-2</v>
      </c>
      <c r="AQ63" s="6">
        <f t="shared" si="10"/>
        <v>0.45083341237074037</v>
      </c>
      <c r="AR63" s="6">
        <f t="shared" si="11"/>
        <v>9.0413530913516352E-2</v>
      </c>
      <c r="AS63" s="6">
        <f t="shared" si="12"/>
        <v>0.45083341237074037</v>
      </c>
      <c r="AT63" s="6">
        <f t="shared" si="13"/>
        <v>0.2023481878691181</v>
      </c>
      <c r="AU63" s="6">
        <f t="shared" si="14"/>
        <v>9.0413530913516352E-2</v>
      </c>
      <c r="AV63" s="6">
        <f t="shared" si="15"/>
        <v>0.45083341237074037</v>
      </c>
      <c r="AW63" s="6">
        <f t="shared" si="16"/>
        <v>0.45083341237074037</v>
      </c>
      <c r="AX63" s="6">
        <f t="shared" si="17"/>
        <v>0.44476985948838627</v>
      </c>
      <c r="AY63" s="6">
        <f t="shared" si="18"/>
        <v>0.45083341237074037</v>
      </c>
    </row>
    <row r="64" spans="2:51" x14ac:dyDescent="0.25">
      <c r="B64" t="s">
        <v>225</v>
      </c>
      <c r="T64" s="31"/>
      <c r="U64" s="31"/>
      <c r="V64" s="43" t="s">
        <v>235</v>
      </c>
      <c r="W64" s="6">
        <f>AVERAGE(W63)</f>
        <v>480</v>
      </c>
      <c r="X64" s="31"/>
      <c r="Y64" s="31"/>
      <c r="Z64" s="31"/>
      <c r="AA64" s="31"/>
      <c r="AB64" s="31"/>
      <c r="AC64" s="31"/>
      <c r="AD64" s="31"/>
      <c r="AE64" s="31"/>
      <c r="AF64" s="31"/>
      <c r="AG64" s="31"/>
      <c r="AH64" s="31"/>
      <c r="AI64" s="31"/>
      <c r="AJ64">
        <f t="shared" si="19"/>
        <v>291</v>
      </c>
      <c r="AK64" s="6">
        <f t="shared" si="4"/>
        <v>3.801924038979429E-2</v>
      </c>
      <c r="AL64" s="6">
        <f t="shared" si="5"/>
        <v>1.3419434718511933E-3</v>
      </c>
      <c r="AM64" s="6">
        <f t="shared" si="6"/>
        <v>2.449918252541729E-4</v>
      </c>
      <c r="AN64" s="6">
        <f t="shared" si="7"/>
        <v>0.44459791893664952</v>
      </c>
      <c r="AO64" s="6">
        <f t="shared" si="8"/>
        <v>8.6693345504566074E-2</v>
      </c>
      <c r="AP64" s="6">
        <f t="shared" si="9"/>
        <v>3.801924038979429E-2</v>
      </c>
      <c r="AQ64" s="6">
        <f t="shared" si="10"/>
        <v>0.44459791893664952</v>
      </c>
      <c r="AR64" s="6">
        <f t="shared" si="11"/>
        <v>8.6693345504566074E-2</v>
      </c>
      <c r="AS64" s="6">
        <f t="shared" si="12"/>
        <v>0.44459791893664952</v>
      </c>
      <c r="AT64" s="6">
        <f t="shared" si="13"/>
        <v>0.19677421505256759</v>
      </c>
      <c r="AU64" s="6">
        <f t="shared" si="14"/>
        <v>8.6693345504566074E-2</v>
      </c>
      <c r="AV64" s="6">
        <f t="shared" si="15"/>
        <v>0.44459791893664952</v>
      </c>
      <c r="AW64" s="6">
        <f t="shared" si="16"/>
        <v>0.44459791893664952</v>
      </c>
      <c r="AX64" s="6">
        <f t="shared" si="17"/>
        <v>0.43851440975789746</v>
      </c>
      <c r="AY64" s="6">
        <f t="shared" si="18"/>
        <v>0.44459791893664952</v>
      </c>
    </row>
    <row r="65" spans="2:51" x14ac:dyDescent="0.25">
      <c r="C65" t="s">
        <v>226</v>
      </c>
      <c r="AJ65">
        <f t="shared" si="19"/>
        <v>296</v>
      </c>
      <c r="AK65" s="6">
        <f t="shared" si="4"/>
        <v>3.5942217602263959E-2</v>
      </c>
      <c r="AL65" s="6">
        <f t="shared" si="5"/>
        <v>1.1977952218190572E-3</v>
      </c>
      <c r="AM65" s="6">
        <f t="shared" si="6"/>
        <v>2.1237799893230065E-4</v>
      </c>
      <c r="AN65" s="6">
        <f t="shared" si="7"/>
        <v>0.43844866884056272</v>
      </c>
      <c r="AO65" s="6">
        <f t="shared" si="8"/>
        <v>8.3126232089786686E-2</v>
      </c>
      <c r="AP65" s="6">
        <f t="shared" si="9"/>
        <v>3.5942217602263959E-2</v>
      </c>
      <c r="AQ65" s="6">
        <f t="shared" si="10"/>
        <v>0.43844866884056272</v>
      </c>
      <c r="AR65" s="6">
        <f t="shared" si="11"/>
        <v>8.3126232089786686E-2</v>
      </c>
      <c r="AS65" s="6">
        <f t="shared" si="12"/>
        <v>0.43844866884056272</v>
      </c>
      <c r="AT65" s="6">
        <f t="shared" si="13"/>
        <v>0.19135378536030612</v>
      </c>
      <c r="AU65" s="6">
        <f t="shared" si="14"/>
        <v>8.3126232089786686E-2</v>
      </c>
      <c r="AV65" s="6">
        <f t="shared" si="15"/>
        <v>0.43844866884056272</v>
      </c>
      <c r="AW65" s="6">
        <f t="shared" si="16"/>
        <v>0.43844866884056272</v>
      </c>
      <c r="AX65" s="6">
        <f t="shared" si="17"/>
        <v>0.43234693957569831</v>
      </c>
      <c r="AY65" s="6">
        <f t="shared" si="18"/>
        <v>0.43844866884056272</v>
      </c>
    </row>
    <row r="66" spans="2:51" x14ac:dyDescent="0.25">
      <c r="C66" t="s">
        <v>227</v>
      </c>
      <c r="AJ66">
        <f t="shared" si="19"/>
        <v>301</v>
      </c>
      <c r="AK66" s="6">
        <f t="shared" si="4"/>
        <v>3.3978664300596338E-2</v>
      </c>
      <c r="AL66" s="6">
        <f t="shared" si="5"/>
        <v>1.0691310204247251E-3</v>
      </c>
      <c r="AM66" s="6">
        <f t="shared" si="6"/>
        <v>1.8410579366757919E-4</v>
      </c>
      <c r="AN66" s="6">
        <f t="shared" si="7"/>
        <v>0.43238446924771412</v>
      </c>
      <c r="AO66" s="6">
        <f t="shared" si="8"/>
        <v>7.9705892317665172E-2</v>
      </c>
      <c r="AP66" s="6">
        <f t="shared" si="9"/>
        <v>3.3978664300596338E-2</v>
      </c>
      <c r="AQ66" s="6">
        <f t="shared" si="10"/>
        <v>0.43238446924771412</v>
      </c>
      <c r="AR66" s="6">
        <f t="shared" si="11"/>
        <v>7.9705892317665172E-2</v>
      </c>
      <c r="AS66" s="6">
        <f t="shared" si="12"/>
        <v>0.43238446924771412</v>
      </c>
      <c r="AT66" s="6">
        <f t="shared" si="13"/>
        <v>0.1860826692254175</v>
      </c>
      <c r="AU66" s="6">
        <f t="shared" si="14"/>
        <v>7.9705892317665172E-2</v>
      </c>
      <c r="AV66" s="6">
        <f t="shared" si="15"/>
        <v>0.43238446924771412</v>
      </c>
      <c r="AW66" s="6">
        <f t="shared" si="16"/>
        <v>0.43238446924771412</v>
      </c>
      <c r="AX66" s="6">
        <f t="shared" si="17"/>
        <v>0.42626621155658867</v>
      </c>
      <c r="AY66" s="6">
        <f t="shared" si="18"/>
        <v>0.43238446924771412</v>
      </c>
    </row>
    <row r="67" spans="2:51" x14ac:dyDescent="0.25">
      <c r="C67" t="s">
        <v>228</v>
      </c>
      <c r="AJ67">
        <f t="shared" si="19"/>
        <v>306</v>
      </c>
      <c r="AK67" s="6">
        <f t="shared" si="4"/>
        <v>3.2122381552213863E-2</v>
      </c>
      <c r="AL67" s="6">
        <f t="shared" si="5"/>
        <v>9.5428760944505123E-4</v>
      </c>
      <c r="AM67" s="6">
        <f t="shared" si="6"/>
        <v>1.5959724374639141E-4</v>
      </c>
      <c r="AN67" s="6">
        <f t="shared" si="7"/>
        <v>0.42640414382147923</v>
      </c>
      <c r="AO67" s="6">
        <f t="shared" si="8"/>
        <v>7.6426286990768116E-2</v>
      </c>
      <c r="AP67" s="6">
        <f t="shared" si="9"/>
        <v>3.2122381552213863E-2</v>
      </c>
      <c r="AQ67" s="6">
        <f t="shared" si="10"/>
        <v>0.42640414382147923</v>
      </c>
      <c r="AR67" s="6">
        <f t="shared" si="11"/>
        <v>7.6426286990768116E-2</v>
      </c>
      <c r="AS67" s="6">
        <f t="shared" si="12"/>
        <v>0.42640414382147923</v>
      </c>
      <c r="AT67" s="6">
        <f t="shared" si="13"/>
        <v>0.18095675359050942</v>
      </c>
      <c r="AU67" s="6">
        <f t="shared" si="14"/>
        <v>7.6426286990768116E-2</v>
      </c>
      <c r="AV67" s="6">
        <f t="shared" si="15"/>
        <v>0.42640414382147923</v>
      </c>
      <c r="AW67" s="6">
        <f t="shared" si="16"/>
        <v>0.42640414382147923</v>
      </c>
      <c r="AX67" s="6">
        <f t="shared" si="17"/>
        <v>0.4202710057185281</v>
      </c>
      <c r="AY67" s="6">
        <f t="shared" si="18"/>
        <v>0.42640414382147923</v>
      </c>
    </row>
    <row r="68" spans="2:51" x14ac:dyDescent="0.25">
      <c r="AJ68">
        <f t="shared" si="19"/>
        <v>311</v>
      </c>
      <c r="AK68" s="6">
        <f t="shared" si="4"/>
        <v>3.0367509077391847E-2</v>
      </c>
      <c r="AL68" s="6">
        <f t="shared" si="5"/>
        <v>8.517803937431157E-4</v>
      </c>
      <c r="AM68" s="6">
        <f t="shared" si="6"/>
        <v>1.3835132346478942E-4</v>
      </c>
      <c r="AN68" s="6">
        <f t="shared" si="7"/>
        <v>0.42050653249518855</v>
      </c>
      <c r="AO68" s="6">
        <f t="shared" si="8"/>
        <v>7.3281625402501355E-2</v>
      </c>
      <c r="AP68" s="6">
        <f t="shared" si="9"/>
        <v>3.0367509077391847E-2</v>
      </c>
      <c r="AQ68" s="6">
        <f t="shared" si="10"/>
        <v>0.42050653249518855</v>
      </c>
      <c r="AR68" s="6">
        <f t="shared" si="11"/>
        <v>7.3281625402501355E-2</v>
      </c>
      <c r="AS68" s="6">
        <f t="shared" si="12"/>
        <v>0.42050653249518855</v>
      </c>
      <c r="AT68" s="6">
        <f t="shared" si="13"/>
        <v>0.1759720386982904</v>
      </c>
      <c r="AU68" s="6">
        <f t="shared" si="14"/>
        <v>7.3281625402501355E-2</v>
      </c>
      <c r="AV68" s="6">
        <f t="shared" si="15"/>
        <v>0.42050653249518855</v>
      </c>
      <c r="AW68" s="6">
        <f t="shared" si="16"/>
        <v>0.42050653249518855</v>
      </c>
      <c r="AX68" s="6">
        <f t="shared" si="17"/>
        <v>0.41436011923786975</v>
      </c>
      <c r="AY68" s="6">
        <f t="shared" si="18"/>
        <v>0.42050653249518855</v>
      </c>
    </row>
    <row r="69" spans="2:51" x14ac:dyDescent="0.25">
      <c r="B69" t="s">
        <v>229</v>
      </c>
      <c r="AJ69">
        <f t="shared" si="19"/>
        <v>316</v>
      </c>
      <c r="AK69" s="6">
        <f t="shared" si="4"/>
        <v>2.8708506748370884E-2</v>
      </c>
      <c r="AL69" s="6">
        <f t="shared" si="5"/>
        <v>7.6028424972120927E-4</v>
      </c>
      <c r="AM69" s="6">
        <f t="shared" si="6"/>
        <v>1.1993370471281473E-4</v>
      </c>
      <c r="AN69" s="6">
        <f t="shared" si="7"/>
        <v>0.41469049124709711</v>
      </c>
      <c r="AO69" s="6">
        <f t="shared" si="8"/>
        <v>7.0266355112622761E-2</v>
      </c>
      <c r="AP69" s="6">
        <f t="shared" si="9"/>
        <v>2.8708506748370884E-2</v>
      </c>
      <c r="AQ69" s="6">
        <f t="shared" si="10"/>
        <v>0.41469049124709711</v>
      </c>
      <c r="AR69" s="6">
        <f t="shared" si="11"/>
        <v>7.0266355112622761E-2</v>
      </c>
      <c r="AS69" s="6">
        <f t="shared" si="12"/>
        <v>0.41469049124709711</v>
      </c>
      <c r="AT69" s="6">
        <f t="shared" si="13"/>
        <v>0.17112463497055513</v>
      </c>
      <c r="AU69" s="6">
        <f t="shared" si="14"/>
        <v>7.0266355112622761E-2</v>
      </c>
      <c r="AV69" s="6">
        <f t="shared" si="15"/>
        <v>0.41469049124709711</v>
      </c>
      <c r="AW69" s="6">
        <f t="shared" si="16"/>
        <v>0.41469049124709711</v>
      </c>
      <c r="AX69" s="6">
        <f t="shared" si="17"/>
        <v>0.40853236620803668</v>
      </c>
      <c r="AY69" s="6">
        <f t="shared" si="18"/>
        <v>0.41469049124709711</v>
      </c>
    </row>
    <row r="70" spans="2:51" x14ac:dyDescent="0.25">
      <c r="AJ70">
        <f t="shared" si="19"/>
        <v>321</v>
      </c>
      <c r="AK70" s="6">
        <f t="shared" si="4"/>
        <v>2.7140137099188194E-2</v>
      </c>
      <c r="AL70" s="6">
        <f t="shared" si="5"/>
        <v>6.7861639528235909E-4</v>
      </c>
      <c r="AM70" s="6">
        <f t="shared" si="6"/>
        <v>1.0396787805070336E-4</v>
      </c>
      <c r="AN70" s="6">
        <f t="shared" si="7"/>
        <v>0.40895489187846656</v>
      </c>
      <c r="AO70" s="6">
        <f t="shared" si="8"/>
        <v>6.7375152143455019E-2</v>
      </c>
      <c r="AP70" s="6">
        <f t="shared" si="9"/>
        <v>2.7140137099188194E-2</v>
      </c>
      <c r="AQ70" s="6">
        <f t="shared" si="10"/>
        <v>0.40895489187846656</v>
      </c>
      <c r="AR70" s="6">
        <f t="shared" si="11"/>
        <v>6.7375152143455019E-2</v>
      </c>
      <c r="AS70" s="6">
        <f t="shared" si="12"/>
        <v>0.40895489187846656</v>
      </c>
      <c r="AT70" s="6">
        <f t="shared" si="13"/>
        <v>0.16641075997314245</v>
      </c>
      <c r="AU70" s="6">
        <f t="shared" si="14"/>
        <v>6.7375152143455019E-2</v>
      </c>
      <c r="AV70" s="6">
        <f t="shared" si="15"/>
        <v>0.40895489187846656</v>
      </c>
      <c r="AW70" s="6">
        <f t="shared" si="16"/>
        <v>0.40895489187846656</v>
      </c>
      <c r="AX70" s="6">
        <f t="shared" si="17"/>
        <v>0.40278657740159268</v>
      </c>
      <c r="AY70" s="6">
        <f t="shared" si="18"/>
        <v>0.40895489187846656</v>
      </c>
    </row>
    <row r="71" spans="2:51" x14ac:dyDescent="0.25">
      <c r="AJ71">
        <f t="shared" si="19"/>
        <v>326</v>
      </c>
      <c r="AK71" s="6">
        <f t="shared" ref="AK71:AK79" si="23">EXP(-$AE$9*(AJ71))</f>
        <v>2.5657448791011391E-2</v>
      </c>
      <c r="AL71" s="6">
        <f t="shared" ref="AL71:AL79" si="24">EXP(-$AE$18*(AJ71))</f>
        <v>6.0572109985823435E-4</v>
      </c>
      <c r="AM71" s="6">
        <f t="shared" ref="AM71:AM79" si="25">EXP(-$AE$29*(AJ71))</f>
        <v>9.0127455766076775E-5</v>
      </c>
      <c r="AN71" s="6">
        <f t="shared" ref="AN71:AN79" si="26">EXP(-$AE$31*(AJ71))</f>
        <v>0.40329862179471665</v>
      </c>
      <c r="AO71" s="6">
        <f t="shared" ref="AO71:AO79" si="27">EXP(-$AE$35*(AJ71))</f>
        <v>6.4602911579488526E-2</v>
      </c>
      <c r="AP71" s="6">
        <f t="shared" ref="AP71:AP79" si="28">EXP(-$AE$40*(AJ71))</f>
        <v>2.5657448791011391E-2</v>
      </c>
      <c r="AQ71" s="6">
        <f t="shared" ref="AQ71:AQ79" si="29">EXP(-$AE$42*(AJ71))</f>
        <v>0.40329862179471665</v>
      </c>
      <c r="AR71" s="6">
        <f t="shared" ref="AR71:AR79" si="30">EXP(-$AE$46*(AJ71))</f>
        <v>6.4602911579488526E-2</v>
      </c>
      <c r="AS71" s="6">
        <f t="shared" ref="AS71:AS79" si="31">EXP(-$AE$48*(AJ71))</f>
        <v>0.40329862179471665</v>
      </c>
      <c r="AT71" s="6">
        <f t="shared" ref="AT71:AT79" si="32">EXP(-$AE$51*(AJ71))</f>
        <v>0.16182673546449816</v>
      </c>
      <c r="AU71" s="6">
        <f t="shared" ref="AU71:AU79" si="33">EXP(-$AE$55*(AJ71))</f>
        <v>6.4602911579488526E-2</v>
      </c>
      <c r="AV71" s="6">
        <f t="shared" ref="AV71:AV79" si="34">EXP(-$AE$57*(AJ71))</f>
        <v>0.40329862179471665</v>
      </c>
      <c r="AW71" s="6">
        <f t="shared" ref="AW71:AW79" si="35">EXP(-$AE$59*(AJ71))</f>
        <v>0.40329862179471665</v>
      </c>
      <c r="AX71" s="6">
        <f t="shared" ref="AX71:AX79" si="36">EXP(-$AE$61*(AJ71))</f>
        <v>0.39712160003565877</v>
      </c>
      <c r="AY71" s="6">
        <f t="shared" ref="AY71:AY79" si="37">EXP(-$AE$63*(AJ71))</f>
        <v>0.40329862179471665</v>
      </c>
    </row>
    <row r="72" spans="2:51" x14ac:dyDescent="0.25">
      <c r="AJ72">
        <f t="shared" ref="AJ72:AJ79" si="38">AJ71+5</f>
        <v>331</v>
      </c>
      <c r="AK72" s="6">
        <f t="shared" si="23"/>
        <v>2.4255760980774973E-2</v>
      </c>
      <c r="AL72" s="6">
        <f t="shared" si="24"/>
        <v>5.4065603684804819E-4</v>
      </c>
      <c r="AM72" s="6">
        <f t="shared" si="25"/>
        <v>7.8129499564323933E-5</v>
      </c>
      <c r="AN72" s="6">
        <f t="shared" si="26"/>
        <v>0.39772058378960357</v>
      </c>
      <c r="AO72" s="6">
        <f t="shared" si="27"/>
        <v>6.1944738553776177E-2</v>
      </c>
      <c r="AP72" s="6">
        <f t="shared" si="28"/>
        <v>2.4255760980774973E-2</v>
      </c>
      <c r="AQ72" s="6">
        <f t="shared" si="29"/>
        <v>0.39772058378960357</v>
      </c>
      <c r="AR72" s="6">
        <f t="shared" si="30"/>
        <v>6.1944738553776177E-2</v>
      </c>
      <c r="AS72" s="6">
        <f t="shared" si="31"/>
        <v>0.39772058378960357</v>
      </c>
      <c r="AT72" s="6">
        <f t="shared" si="32"/>
        <v>0.15736898452553913</v>
      </c>
      <c r="AU72" s="6">
        <f t="shared" si="33"/>
        <v>6.1944738553776177E-2</v>
      </c>
      <c r="AV72" s="6">
        <f t="shared" si="34"/>
        <v>0.39772058378960357</v>
      </c>
      <c r="AW72" s="6">
        <f t="shared" si="35"/>
        <v>0.39772058378960357</v>
      </c>
      <c r="AX72" s="6">
        <f t="shared" si="36"/>
        <v>0.39153629754062941</v>
      </c>
      <c r="AY72" s="6">
        <f t="shared" si="37"/>
        <v>0.39772058378960357</v>
      </c>
    </row>
    <row r="73" spans="2:51" x14ac:dyDescent="0.25">
      <c r="AJ73">
        <f t="shared" si="38"/>
        <v>336</v>
      </c>
      <c r="AK73" s="6">
        <f t="shared" si="23"/>
        <v>2.293064854377105E-2</v>
      </c>
      <c r="AL73" s="6">
        <f t="shared" si="24"/>
        <v>4.8258010204473912E-4</v>
      </c>
      <c r="AM73" s="6">
        <f t="shared" si="25"/>
        <v>6.7728736490853898E-5</v>
      </c>
      <c r="AN73" s="6">
        <f t="shared" si="26"/>
        <v>0.39221969583238303</v>
      </c>
      <c r="AO73" s="6">
        <f t="shared" si="27"/>
        <v>5.9395939605204784E-2</v>
      </c>
      <c r="AP73" s="6">
        <f t="shared" si="28"/>
        <v>2.293064854377105E-2</v>
      </c>
      <c r="AQ73" s="6">
        <f t="shared" si="29"/>
        <v>0.39221969583238303</v>
      </c>
      <c r="AR73" s="6">
        <f t="shared" si="30"/>
        <v>5.9395939605204784E-2</v>
      </c>
      <c r="AS73" s="6">
        <f t="shared" si="31"/>
        <v>0.39221969583238303</v>
      </c>
      <c r="AT73" s="6">
        <f t="shared" si="32"/>
        <v>0.15303402876857986</v>
      </c>
      <c r="AU73" s="6">
        <f t="shared" si="33"/>
        <v>5.9395939605204784E-2</v>
      </c>
      <c r="AV73" s="6">
        <f t="shared" si="34"/>
        <v>0.39221969583238303</v>
      </c>
      <c r="AW73" s="6">
        <f t="shared" si="35"/>
        <v>0.39221969583238303</v>
      </c>
      <c r="AX73" s="6">
        <f t="shared" si="36"/>
        <v>0.3860295493321414</v>
      </c>
      <c r="AY73" s="6">
        <f t="shared" si="37"/>
        <v>0.39221969583238303</v>
      </c>
    </row>
    <row r="74" spans="2:51" x14ac:dyDescent="0.25">
      <c r="AJ74">
        <f t="shared" si="38"/>
        <v>341</v>
      </c>
      <c r="AK74" s="6">
        <f t="shared" si="23"/>
        <v>2.167792810354242E-2</v>
      </c>
      <c r="AL74" s="6">
        <f t="shared" si="24"/>
        <v>4.3074254057568753E-4</v>
      </c>
      <c r="AM74" s="6">
        <f t="shared" si="25"/>
        <v>5.8712544841924943E-5</v>
      </c>
      <c r="AN74" s="6">
        <f t="shared" si="26"/>
        <v>0.38679489085791779</v>
      </c>
      <c r="AO74" s="6">
        <f t="shared" si="27"/>
        <v>5.6952014391383234E-2</v>
      </c>
      <c r="AP74" s="6">
        <f t="shared" si="28"/>
        <v>2.167792810354242E-2</v>
      </c>
      <c r="AQ74" s="6">
        <f t="shared" si="29"/>
        <v>0.38679489085791779</v>
      </c>
      <c r="AR74" s="6">
        <f t="shared" si="30"/>
        <v>5.6952014391383234E-2</v>
      </c>
      <c r="AS74" s="6">
        <f t="shared" si="31"/>
        <v>0.38679489085791779</v>
      </c>
      <c r="AT74" s="6">
        <f t="shared" si="32"/>
        <v>0.14881848562314282</v>
      </c>
      <c r="AU74" s="6">
        <f t="shared" si="33"/>
        <v>5.6952014391383234E-2</v>
      </c>
      <c r="AV74" s="6">
        <f t="shared" si="34"/>
        <v>0.38679489085791779</v>
      </c>
      <c r="AW74" s="6">
        <f t="shared" si="35"/>
        <v>0.38679489085791779</v>
      </c>
      <c r="AX74" s="6">
        <f t="shared" si="36"/>
        <v>0.38060025058625024</v>
      </c>
      <c r="AY74" s="6">
        <f t="shared" si="37"/>
        <v>0.38679489085791779</v>
      </c>
    </row>
    <row r="75" spans="2:51" x14ac:dyDescent="0.25">
      <c r="AJ75">
        <f t="shared" si="38"/>
        <v>346</v>
      </c>
      <c r="AK75" s="6">
        <f t="shared" si="23"/>
        <v>2.0493644824974133E-2</v>
      </c>
      <c r="AL75" s="6">
        <f t="shared" si="24"/>
        <v>3.8447324180058436E-4</v>
      </c>
      <c r="AM75" s="6">
        <f t="shared" si="25"/>
        <v>5.0896607561556189E-5</v>
      </c>
      <c r="AN75" s="6">
        <f t="shared" si="26"/>
        <v>0.38144511655968755</v>
      </c>
      <c r="AO75" s="6">
        <f t="shared" si="27"/>
        <v>5.4608647742515011E-2</v>
      </c>
      <c r="AP75" s="6">
        <f t="shared" si="28"/>
        <v>2.0493644824974133E-2</v>
      </c>
      <c r="AQ75" s="6">
        <f t="shared" si="29"/>
        <v>0.38144511655968755</v>
      </c>
      <c r="AR75" s="6">
        <f t="shared" si="30"/>
        <v>5.4608647742515011E-2</v>
      </c>
      <c r="AS75" s="6">
        <f t="shared" si="31"/>
        <v>0.38144511655968755</v>
      </c>
      <c r="AT75" s="6">
        <f t="shared" si="32"/>
        <v>0.14471906569653517</v>
      </c>
      <c r="AU75" s="6">
        <f t="shared" si="33"/>
        <v>5.4608647742515011E-2</v>
      </c>
      <c r="AV75" s="6">
        <f t="shared" si="34"/>
        <v>0.38144511655968755</v>
      </c>
      <c r="AW75" s="6">
        <f t="shared" si="35"/>
        <v>0.38144511655968755</v>
      </c>
      <c r="AX75" s="6">
        <f t="shared" si="36"/>
        <v>0.37524731201776818</v>
      </c>
      <c r="AY75" s="6">
        <f t="shared" si="37"/>
        <v>0.38144511655968755</v>
      </c>
    </row>
    <row r="76" spans="2:51" x14ac:dyDescent="0.25">
      <c r="AJ76">
        <f t="shared" si="38"/>
        <v>351</v>
      </c>
      <c r="AK76" s="6">
        <f t="shared" si="23"/>
        <v>1.9374059928889506E-2</v>
      </c>
      <c r="AL76" s="6">
        <f t="shared" si="24"/>
        <v>3.4317407670737533E-4</v>
      </c>
      <c r="AM76" s="6">
        <f t="shared" si="25"/>
        <v>4.4121144267371066E-5</v>
      </c>
      <c r="AN76" s="6">
        <f t="shared" si="26"/>
        <v>0.37616933518566198</v>
      </c>
      <c r="AO76" s="6">
        <f t="shared" si="27"/>
        <v>5.2361702042224491E-2</v>
      </c>
      <c r="AP76" s="6">
        <f t="shared" si="28"/>
        <v>1.9374059928889506E-2</v>
      </c>
      <c r="AQ76" s="6">
        <f t="shared" si="29"/>
        <v>0.37616933518566198</v>
      </c>
      <c r="AR76" s="6">
        <f t="shared" si="30"/>
        <v>5.2361702042224491E-2</v>
      </c>
      <c r="AS76" s="6">
        <f t="shared" si="31"/>
        <v>0.37616933518566198</v>
      </c>
      <c r="AT76" s="6">
        <f t="shared" si="32"/>
        <v>0.14073257020713237</v>
      </c>
      <c r="AU76" s="6">
        <f t="shared" si="33"/>
        <v>5.2361702042224491E-2</v>
      </c>
      <c r="AV76" s="6">
        <f t="shared" si="34"/>
        <v>0.37616933518566198</v>
      </c>
      <c r="AW76" s="6">
        <f t="shared" si="35"/>
        <v>0.37616933518566198</v>
      </c>
      <c r="AX76" s="6">
        <f t="shared" si="36"/>
        <v>0.36996965966171974</v>
      </c>
      <c r="AY76" s="6">
        <f t="shared" si="37"/>
        <v>0.37616933518566198</v>
      </c>
    </row>
    <row r="77" spans="2:51" x14ac:dyDescent="0.25">
      <c r="AJ77">
        <f t="shared" si="38"/>
        <v>356</v>
      </c>
      <c r="AK77" s="6">
        <f t="shared" si="23"/>
        <v>1.8315638888734179E-2</v>
      </c>
      <c r="AL77" s="6">
        <f t="shared" si="24"/>
        <v>3.0631116582371335E-4</v>
      </c>
      <c r="AM77" s="6">
        <f t="shared" si="25"/>
        <v>3.8247644877073414E-5</v>
      </c>
      <c r="AN77" s="6">
        <f t="shared" si="26"/>
        <v>0.37096652333699709</v>
      </c>
      <c r="AO77" s="6">
        <f t="shared" si="27"/>
        <v>5.0207209921884495E-2</v>
      </c>
      <c r="AP77" s="6">
        <f t="shared" si="28"/>
        <v>1.8315638888734179E-2</v>
      </c>
      <c r="AQ77" s="6">
        <f t="shared" si="29"/>
        <v>0.37096652333699709</v>
      </c>
      <c r="AR77" s="6">
        <f t="shared" si="30"/>
        <v>5.0207209921884495E-2</v>
      </c>
      <c r="AS77" s="6">
        <f t="shared" si="31"/>
        <v>0.37096652333699709</v>
      </c>
      <c r="AT77" s="6">
        <f t="shared" si="32"/>
        <v>0.13685588848836538</v>
      </c>
      <c r="AU77" s="6">
        <f t="shared" si="33"/>
        <v>5.0207209921884495E-2</v>
      </c>
      <c r="AV77" s="6">
        <f t="shared" si="34"/>
        <v>0.37096652333699709</v>
      </c>
      <c r="AW77" s="6">
        <f t="shared" si="35"/>
        <v>0.37096652333699709</v>
      </c>
      <c r="AX77" s="6">
        <f t="shared" si="36"/>
        <v>0.3647662346578715</v>
      </c>
      <c r="AY77" s="6">
        <f t="shared" si="37"/>
        <v>0.37096652333699709</v>
      </c>
    </row>
    <row r="78" spans="2:51" x14ac:dyDescent="0.25">
      <c r="AJ78">
        <f t="shared" si="38"/>
        <v>361</v>
      </c>
      <c r="AK78" s="6">
        <f t="shared" si="23"/>
        <v>1.7315040272085101E-2</v>
      </c>
      <c r="AL78" s="6">
        <f t="shared" si="24"/>
        <v>2.7340797769025084E-4</v>
      </c>
      <c r="AM78" s="6">
        <f t="shared" si="25"/>
        <v>3.3156038061428215E-5</v>
      </c>
      <c r="AN78" s="6">
        <f t="shared" si="26"/>
        <v>0.36583567176951587</v>
      </c>
      <c r="AO78" s="6">
        <f t="shared" si="27"/>
        <v>4.814136725554554E-2</v>
      </c>
      <c r="AP78" s="6">
        <f t="shared" si="28"/>
        <v>1.7315040272085101E-2</v>
      </c>
      <c r="AQ78" s="6">
        <f t="shared" si="29"/>
        <v>0.36583567176951587</v>
      </c>
      <c r="AR78" s="6">
        <f t="shared" si="30"/>
        <v>4.814136725554554E-2</v>
      </c>
      <c r="AS78" s="6">
        <f t="shared" si="31"/>
        <v>0.36583567176951587</v>
      </c>
      <c r="AT78" s="6">
        <f t="shared" si="32"/>
        <v>0.13308599556146444</v>
      </c>
      <c r="AU78" s="6">
        <f t="shared" si="33"/>
        <v>4.814136725554554E-2</v>
      </c>
      <c r="AV78" s="6">
        <f t="shared" si="34"/>
        <v>0.36583567176951587</v>
      </c>
      <c r="AW78" s="6">
        <f t="shared" si="35"/>
        <v>0.36583567176951587</v>
      </c>
      <c r="AX78" s="6">
        <f t="shared" si="36"/>
        <v>0.35963599303829163</v>
      </c>
      <c r="AY78" s="6">
        <f t="shared" si="37"/>
        <v>0.36583567176951587</v>
      </c>
    </row>
    <row r="79" spans="2:51" x14ac:dyDescent="0.25">
      <c r="AJ79">
        <f t="shared" si="38"/>
        <v>366</v>
      </c>
      <c r="AK79" s="6">
        <f t="shared" si="23"/>
        <v>1.6369105191757192E-2</v>
      </c>
      <c r="AL79" s="6">
        <f t="shared" si="24"/>
        <v>2.440391686788641E-4</v>
      </c>
      <c r="AM79" s="6">
        <f t="shared" si="25"/>
        <v>2.8742236638727934E-5</v>
      </c>
      <c r="AN79" s="6">
        <f t="shared" si="26"/>
        <v>0.36077578519793424</v>
      </c>
      <c r="AO79" s="6">
        <f t="shared" si="27"/>
        <v>4.6160526443097816E-2</v>
      </c>
      <c r="AP79" s="6">
        <f t="shared" si="28"/>
        <v>1.6369105191757192E-2</v>
      </c>
      <c r="AQ79" s="6">
        <f t="shared" si="29"/>
        <v>0.36077578519793424</v>
      </c>
      <c r="AR79" s="6">
        <f t="shared" si="30"/>
        <v>4.6160526443097816E-2</v>
      </c>
      <c r="AS79" s="6">
        <f t="shared" si="31"/>
        <v>0.36077578519793424</v>
      </c>
      <c r="AT79" s="6">
        <f t="shared" si="32"/>
        <v>0.12941994977506494</v>
      </c>
      <c r="AU79" s="6">
        <f t="shared" si="33"/>
        <v>4.6160526443097816E-2</v>
      </c>
      <c r="AV79" s="6">
        <f t="shared" si="34"/>
        <v>0.36077578519793424</v>
      </c>
      <c r="AW79" s="6">
        <f t="shared" si="35"/>
        <v>0.36077578519793424</v>
      </c>
      <c r="AX79" s="6">
        <f t="shared" si="36"/>
        <v>0.35457790551789786</v>
      </c>
      <c r="AY79" s="6">
        <f t="shared" si="37"/>
        <v>0.36077578519793424</v>
      </c>
    </row>
    <row r="80" spans="2:51" x14ac:dyDescent="0.25">
      <c r="AK80" s="11"/>
      <c r="AL80" s="11"/>
      <c r="AM80" s="11"/>
      <c r="AN80" s="11"/>
      <c r="AO80" s="11"/>
      <c r="AP80" s="60"/>
      <c r="AQ80" s="60"/>
      <c r="AR80" s="60"/>
      <c r="AS80" s="60"/>
      <c r="AT80" s="60"/>
      <c r="AU80" s="60"/>
      <c r="AV80" s="60"/>
      <c r="AW80" s="60"/>
      <c r="AX80" s="60"/>
      <c r="AY80" s="60"/>
    </row>
    <row r="81" spans="37:51" x14ac:dyDescent="0.25">
      <c r="AK81" s="11"/>
      <c r="AL81" s="11"/>
      <c r="AM81" s="11"/>
      <c r="AN81" s="11"/>
      <c r="AO81" s="11"/>
      <c r="AP81" s="60"/>
      <c r="AQ81" s="60"/>
      <c r="AR81" s="60"/>
      <c r="AS81" s="60"/>
      <c r="AT81" s="60"/>
      <c r="AU81" s="60"/>
      <c r="AV81" s="60"/>
      <c r="AW81" s="60"/>
      <c r="AX81" s="60"/>
      <c r="AY81" s="60"/>
    </row>
    <row r="82" spans="37:51" x14ac:dyDescent="0.25">
      <c r="AK82" s="11"/>
      <c r="AL82" s="11"/>
      <c r="AM82" s="11"/>
      <c r="AN82" s="11"/>
      <c r="AO82" s="11"/>
      <c r="AP82" s="11"/>
      <c r="AQ82" s="11"/>
      <c r="AR82" s="11"/>
      <c r="AS82" s="11"/>
      <c r="AT82" s="11"/>
      <c r="AU82" s="11"/>
      <c r="AV82" s="11"/>
      <c r="AW82" s="11"/>
      <c r="AX82" s="11"/>
      <c r="AY82" s="11"/>
    </row>
    <row r="83" spans="37:51" x14ac:dyDescent="0.25">
      <c r="AK83" s="11"/>
      <c r="AL83" s="11"/>
      <c r="AM83" s="11"/>
      <c r="AN83" s="11"/>
      <c r="AO83" s="11"/>
      <c r="AP83" s="11"/>
      <c r="AQ83" s="11"/>
      <c r="AR83" s="11"/>
      <c r="AS83" s="11"/>
      <c r="AT83" s="11"/>
      <c r="AU83" s="11"/>
      <c r="AV83" s="11"/>
      <c r="AW83" s="11"/>
      <c r="AX83" s="11"/>
      <c r="AY83" s="11"/>
    </row>
    <row r="84" spans="37:51" x14ac:dyDescent="0.25">
      <c r="AK84" s="11"/>
      <c r="AL84" s="11"/>
      <c r="AM84" s="11"/>
      <c r="AN84" s="11"/>
      <c r="AO84" s="11"/>
      <c r="AP84" s="11"/>
      <c r="AQ84" s="11"/>
      <c r="AR84" s="11"/>
      <c r="AS84" s="11"/>
      <c r="AT84" s="11"/>
      <c r="AU84" s="11"/>
      <c r="AV84" s="11"/>
      <c r="AW84" s="11"/>
      <c r="AX84" s="11"/>
      <c r="AY84" s="11"/>
    </row>
    <row r="85" spans="37:51" x14ac:dyDescent="0.25">
      <c r="AK85" s="11"/>
      <c r="AL85" s="11"/>
      <c r="AM85" s="11"/>
      <c r="AN85" s="11"/>
      <c r="AO85" s="11"/>
      <c r="AP85" s="11"/>
      <c r="AQ85" s="11"/>
      <c r="AR85" s="11"/>
      <c r="AS85" s="11"/>
      <c r="AT85" s="11"/>
      <c r="AU85" s="11"/>
      <c r="AV85" s="11"/>
      <c r="AW85" s="11"/>
      <c r="AX85" s="11"/>
      <c r="AY85" s="11"/>
    </row>
    <row r="86" spans="37:51" x14ac:dyDescent="0.25">
      <c r="AK86" s="11"/>
      <c r="AL86" s="11"/>
      <c r="AM86" s="11"/>
      <c r="AN86" s="11"/>
      <c r="AO86" s="11"/>
      <c r="AP86" s="11"/>
      <c r="AQ86" s="11"/>
      <c r="AR86" s="11"/>
      <c r="AS86" s="11"/>
      <c r="AT86" s="11"/>
      <c r="AU86" s="11"/>
      <c r="AV86" s="11"/>
      <c r="AW86" s="11"/>
      <c r="AX86" s="11"/>
      <c r="AY86" s="11"/>
    </row>
    <row r="87" spans="37:51" x14ac:dyDescent="0.25">
      <c r="AK87" s="11"/>
      <c r="AL87" s="11"/>
      <c r="AM87" s="11"/>
      <c r="AN87" s="11"/>
      <c r="AO87" s="11"/>
      <c r="AP87" s="11"/>
      <c r="AQ87" s="11"/>
      <c r="AR87" s="11"/>
      <c r="AS87" s="11"/>
      <c r="AT87" s="11"/>
      <c r="AU87" s="11"/>
      <c r="AV87" s="11"/>
      <c r="AW87" s="11"/>
      <c r="AX87" s="11"/>
      <c r="AY87" s="11"/>
    </row>
    <row r="88" spans="37:51" x14ac:dyDescent="0.25">
      <c r="AK88" s="11"/>
      <c r="AL88" s="11"/>
      <c r="AM88" s="11"/>
      <c r="AN88" s="11"/>
      <c r="AO88" s="11"/>
      <c r="AP88" s="11"/>
      <c r="AQ88" s="11"/>
      <c r="AR88" s="11"/>
      <c r="AS88" s="11"/>
      <c r="AT88" s="11"/>
      <c r="AU88" s="11"/>
      <c r="AV88" s="11"/>
      <c r="AW88" s="11"/>
      <c r="AX88" s="11"/>
      <c r="AY88" s="11"/>
    </row>
  </sheetData>
  <sheetProtection sheet="1" objects="1" scenarios="1"/>
  <mergeCells count="6">
    <mergeCell ref="AT3:AW3"/>
    <mergeCell ref="AX3:AY3"/>
    <mergeCell ref="B2:R3"/>
    <mergeCell ref="T2:AI3"/>
    <mergeCell ref="AK3:AP3"/>
    <mergeCell ref="AQ3:AS3"/>
  </mergeCells>
  <pageMargins left="0.7" right="0.7" top="0.75" bottom="0.75" header="0.3" footer="0.3"/>
  <drawing r:id="rId1"/>
  <legacy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2:CC85"/>
  <sheetViews>
    <sheetView zoomScale="80" zoomScaleNormal="80" workbookViewId="0"/>
  </sheetViews>
  <sheetFormatPr defaultRowHeight="15" x14ac:dyDescent="0.25"/>
  <cols>
    <col min="1" max="1" width="3" customWidth="1"/>
    <col min="2" max="2" width="10.42578125" bestFit="1" customWidth="1"/>
    <col min="3" max="3" width="11.28515625" bestFit="1" customWidth="1"/>
    <col min="4" max="4" width="22.28515625" bestFit="1" customWidth="1"/>
    <col min="5" max="5" width="12.28515625" bestFit="1" customWidth="1"/>
    <col min="6" max="6" width="21.42578125" bestFit="1" customWidth="1"/>
    <col min="7" max="8" width="18.140625" bestFit="1" customWidth="1"/>
    <col min="10" max="20" width="9.140625" customWidth="1"/>
    <col min="21" max="21" width="12.42578125" customWidth="1"/>
    <col min="22" max="24" width="9.140625" customWidth="1"/>
    <col min="25" max="25" width="12.42578125" customWidth="1"/>
    <col min="26" max="37" width="9.140625" customWidth="1"/>
    <col min="49" max="49" width="12.42578125" bestFit="1" customWidth="1"/>
    <col min="50" max="52" width="9.140625" customWidth="1"/>
    <col min="53" max="53" width="12.42578125" customWidth="1"/>
    <col min="77" max="77" width="12.42578125" bestFit="1" customWidth="1"/>
    <col min="78" max="80" width="9.140625" customWidth="1"/>
    <col min="81" max="81" width="12.42578125" customWidth="1"/>
  </cols>
  <sheetData>
    <row r="2" spans="2:81" ht="15" customHeight="1" x14ac:dyDescent="0.25">
      <c r="B2" s="123" t="s">
        <v>336</v>
      </c>
      <c r="C2" s="123"/>
      <c r="D2" s="123"/>
      <c r="E2" s="123"/>
      <c r="F2" s="123"/>
      <c r="G2" s="123"/>
      <c r="H2" s="123"/>
    </row>
    <row r="3" spans="2:81" ht="15" customHeight="1" x14ac:dyDescent="0.25">
      <c r="B3" s="123"/>
      <c r="C3" s="123"/>
      <c r="D3" s="123"/>
      <c r="E3" s="123"/>
      <c r="F3" s="123"/>
      <c r="G3" s="123"/>
      <c r="H3" s="123"/>
      <c r="J3" s="130" t="s">
        <v>292</v>
      </c>
      <c r="K3" s="130"/>
      <c r="L3" s="130"/>
      <c r="M3" s="130"/>
      <c r="N3" s="130"/>
      <c r="O3" s="130"/>
      <c r="P3" s="130"/>
      <c r="Q3" s="130"/>
      <c r="R3" s="130"/>
      <c r="S3" s="130"/>
      <c r="T3" s="130"/>
      <c r="U3" s="130"/>
      <c r="AL3" s="130" t="s">
        <v>292</v>
      </c>
      <c r="AM3" s="130"/>
      <c r="AN3" s="130"/>
      <c r="AO3" s="130"/>
      <c r="AP3" s="130"/>
      <c r="AQ3" s="130"/>
      <c r="AR3" s="130"/>
      <c r="AS3" s="130"/>
      <c r="AT3" s="130"/>
      <c r="AU3" s="130"/>
      <c r="AV3" s="130"/>
      <c r="AW3" s="130"/>
      <c r="BN3" s="130" t="s">
        <v>292</v>
      </c>
      <c r="BO3" s="130"/>
      <c r="BP3" s="130"/>
      <c r="BQ3" s="130"/>
      <c r="BR3" s="130"/>
      <c r="BS3" s="130"/>
      <c r="BT3" s="130"/>
      <c r="BU3" s="130"/>
      <c r="BV3" s="130"/>
      <c r="BW3" s="130"/>
      <c r="BX3" s="130"/>
      <c r="BY3" s="130"/>
    </row>
    <row r="4" spans="2:81" x14ac:dyDescent="0.25">
      <c r="B4" s="7" t="s">
        <v>165</v>
      </c>
      <c r="C4" s="7" t="s">
        <v>5</v>
      </c>
      <c r="D4" s="7" t="s">
        <v>197</v>
      </c>
      <c r="E4" s="7" t="s">
        <v>185</v>
      </c>
      <c r="F4" s="7" t="s">
        <v>278</v>
      </c>
      <c r="G4" s="7" t="s">
        <v>282</v>
      </c>
      <c r="H4" s="7" t="s">
        <v>280</v>
      </c>
      <c r="J4" s="131" t="s">
        <v>353</v>
      </c>
      <c r="K4" s="131"/>
      <c r="L4" s="131"/>
      <c r="M4" s="131"/>
      <c r="N4" s="131"/>
      <c r="O4" s="131"/>
      <c r="P4" s="131"/>
      <c r="Q4" s="131"/>
      <c r="R4" s="131"/>
      <c r="S4" s="131"/>
      <c r="T4" s="131"/>
      <c r="U4" s="131"/>
      <c r="AL4" s="131" t="s">
        <v>359</v>
      </c>
      <c r="AM4" s="131"/>
      <c r="AN4" s="131"/>
      <c r="AO4" s="131"/>
      <c r="AP4" s="131"/>
      <c r="AQ4" s="131"/>
      <c r="AR4" s="131"/>
      <c r="AS4" s="131"/>
      <c r="AT4" s="131"/>
      <c r="AU4" s="131"/>
      <c r="AV4" s="131"/>
      <c r="AW4" s="131"/>
      <c r="BN4" s="131" t="s">
        <v>6</v>
      </c>
      <c r="BO4" s="131"/>
      <c r="BP4" s="131"/>
      <c r="BQ4" s="131"/>
      <c r="BR4" s="131"/>
      <c r="BS4" s="131"/>
      <c r="BT4" s="131"/>
      <c r="BU4" s="131"/>
      <c r="BV4" s="131"/>
      <c r="BW4" s="131"/>
      <c r="BX4" s="131"/>
      <c r="BY4" s="131"/>
    </row>
    <row r="5" spans="2:81" x14ac:dyDescent="0.25">
      <c r="B5" s="8"/>
      <c r="C5" s="9"/>
      <c r="D5" s="9"/>
      <c r="E5" s="9" t="s">
        <v>187</v>
      </c>
      <c r="F5" s="9" t="s">
        <v>199</v>
      </c>
      <c r="G5" s="9" t="s">
        <v>281</v>
      </c>
      <c r="H5" s="9" t="s">
        <v>283</v>
      </c>
      <c r="J5" s="101" t="s">
        <v>286</v>
      </c>
      <c r="K5" s="101" t="s">
        <v>284</v>
      </c>
      <c r="L5" s="101" t="s">
        <v>287</v>
      </c>
      <c r="M5" s="101" t="s">
        <v>306</v>
      </c>
      <c r="N5" s="101" t="s">
        <v>307</v>
      </c>
      <c r="O5" s="101" t="s">
        <v>308</v>
      </c>
      <c r="P5" s="101" t="s">
        <v>309</v>
      </c>
      <c r="Q5" s="101" t="s">
        <v>310</v>
      </c>
      <c r="R5" s="101" t="s">
        <v>311</v>
      </c>
      <c r="S5" s="101" t="s">
        <v>312</v>
      </c>
      <c r="T5" s="101" t="s">
        <v>313</v>
      </c>
      <c r="U5" s="101" t="s">
        <v>314</v>
      </c>
      <c r="X5" s="105" t="s">
        <v>286</v>
      </c>
      <c r="Y5" s="105" t="s">
        <v>314</v>
      </c>
      <c r="AL5" s="110" t="s">
        <v>286</v>
      </c>
      <c r="AM5" s="110" t="s">
        <v>284</v>
      </c>
      <c r="AN5" s="110" t="s">
        <v>287</v>
      </c>
      <c r="AO5" s="110" t="s">
        <v>306</v>
      </c>
      <c r="AP5" s="110" t="s">
        <v>307</v>
      </c>
      <c r="AQ5" s="110" t="s">
        <v>308</v>
      </c>
      <c r="AR5" s="110" t="s">
        <v>309</v>
      </c>
      <c r="AS5" s="110" t="s">
        <v>310</v>
      </c>
      <c r="AT5" s="110" t="s">
        <v>311</v>
      </c>
      <c r="AU5" s="110" t="s">
        <v>312</v>
      </c>
      <c r="AV5" s="110" t="s">
        <v>313</v>
      </c>
      <c r="AW5" s="110" t="s">
        <v>314</v>
      </c>
      <c r="AZ5" s="110" t="s">
        <v>286</v>
      </c>
      <c r="BA5" s="110" t="s">
        <v>314</v>
      </c>
      <c r="BN5" s="110" t="s">
        <v>286</v>
      </c>
      <c r="BO5" s="110" t="s">
        <v>284</v>
      </c>
      <c r="BP5" s="110" t="s">
        <v>287</v>
      </c>
      <c r="BQ5" s="110" t="s">
        <v>306</v>
      </c>
      <c r="BR5" s="110" t="s">
        <v>307</v>
      </c>
      <c r="BS5" s="110" t="s">
        <v>308</v>
      </c>
      <c r="BT5" s="110" t="s">
        <v>309</v>
      </c>
      <c r="BU5" s="110" t="s">
        <v>310</v>
      </c>
      <c r="BV5" s="110" t="s">
        <v>311</v>
      </c>
      <c r="BW5" s="110" t="s">
        <v>312</v>
      </c>
      <c r="BX5" s="110" t="s">
        <v>313</v>
      </c>
      <c r="BY5" s="110" t="s">
        <v>314</v>
      </c>
      <c r="CB5" s="110" t="s">
        <v>286</v>
      </c>
      <c r="CC5" s="110" t="s">
        <v>314</v>
      </c>
    </row>
    <row r="6" spans="2:81" x14ac:dyDescent="0.25">
      <c r="B6" s="6">
        <f>DAYS360("31-12-2009",C6)</f>
        <v>21</v>
      </c>
      <c r="C6" s="5">
        <v>40199</v>
      </c>
      <c r="D6" s="6" t="s">
        <v>338</v>
      </c>
      <c r="E6" s="34">
        <v>240</v>
      </c>
      <c r="F6" s="79" t="s">
        <v>279</v>
      </c>
      <c r="G6" s="79" t="s">
        <v>279</v>
      </c>
      <c r="H6" s="79" t="s">
        <v>279</v>
      </c>
      <c r="J6" s="83" t="s">
        <v>293</v>
      </c>
      <c r="K6" s="83" t="s">
        <v>293</v>
      </c>
      <c r="L6" s="83" t="s">
        <v>293</v>
      </c>
      <c r="M6" s="83" t="s">
        <v>293</v>
      </c>
      <c r="N6" s="83" t="s">
        <v>293</v>
      </c>
      <c r="O6" s="83" t="s">
        <v>293</v>
      </c>
      <c r="P6" s="83" t="s">
        <v>293</v>
      </c>
      <c r="Q6" s="83" t="s">
        <v>293</v>
      </c>
      <c r="R6" s="83" t="s">
        <v>293</v>
      </c>
      <c r="S6" s="83" t="s">
        <v>293</v>
      </c>
      <c r="T6" s="83" t="s">
        <v>293</v>
      </c>
      <c r="U6" s="83" t="s">
        <v>293</v>
      </c>
      <c r="X6" s="83" t="s">
        <v>293</v>
      </c>
      <c r="Y6" s="83" t="s">
        <v>293</v>
      </c>
      <c r="AL6" s="103"/>
      <c r="AM6" s="103"/>
      <c r="AN6" s="103"/>
      <c r="AO6" s="103"/>
      <c r="AP6" s="103"/>
      <c r="AQ6" s="103"/>
      <c r="AR6" s="103"/>
      <c r="AS6" s="103"/>
      <c r="AT6" s="103"/>
      <c r="AU6" s="103"/>
      <c r="AV6" s="103"/>
      <c r="AW6" s="103"/>
      <c r="AZ6" s="112">
        <v>0</v>
      </c>
      <c r="BA6" s="112">
        <v>1</v>
      </c>
      <c r="BN6" s="103"/>
      <c r="BO6" s="103"/>
      <c r="BP6" s="103"/>
      <c r="BQ6" s="103"/>
      <c r="BR6" s="103"/>
      <c r="BS6" s="103"/>
      <c r="BT6" s="103"/>
      <c r="BU6" s="103"/>
      <c r="BV6" s="103"/>
      <c r="BW6" s="103"/>
      <c r="BX6" s="103"/>
      <c r="BY6" s="103"/>
      <c r="CB6" s="112">
        <v>0</v>
      </c>
      <c r="CC6" s="112">
        <v>1</v>
      </c>
    </row>
    <row r="7" spans="2:81" x14ac:dyDescent="0.25">
      <c r="B7" s="6">
        <f t="shared" ref="B7:B49" si="0">DAYS360("31-12-2009",C7)</f>
        <v>122</v>
      </c>
      <c r="C7" s="5">
        <v>40300</v>
      </c>
      <c r="D7" s="6" t="s">
        <v>338</v>
      </c>
      <c r="E7" s="34">
        <v>120</v>
      </c>
      <c r="F7" s="34">
        <f t="shared" ref="F7:F35" si="1">C7-C6</f>
        <v>101</v>
      </c>
      <c r="G7" s="34">
        <v>101</v>
      </c>
      <c r="H7" s="34">
        <v>0</v>
      </c>
      <c r="J7" s="102"/>
      <c r="K7" s="103"/>
      <c r="L7" s="104"/>
      <c r="M7" s="104"/>
      <c r="N7" s="104"/>
      <c r="O7" s="104"/>
      <c r="P7" s="104"/>
      <c r="Q7" s="104"/>
      <c r="R7" s="104"/>
      <c r="S7" s="104"/>
      <c r="T7" s="104"/>
      <c r="U7" s="104"/>
      <c r="X7" s="102"/>
      <c r="Y7" s="104"/>
      <c r="AL7" s="30">
        <v>14</v>
      </c>
      <c r="AM7" s="33">
        <v>1</v>
      </c>
      <c r="AN7" s="88">
        <f>($AN$12-K14+0.625)/($AN$12+0.25)</f>
        <v>0.8529411764705882</v>
      </c>
      <c r="AO7" s="88">
        <f t="shared" ref="AO7:AO10" si="2">1-AN7</f>
        <v>0.1470588235294118</v>
      </c>
      <c r="AP7" s="33">
        <f>LN(LN(1/AN7))</f>
        <v>-1.8384442750534986</v>
      </c>
      <c r="AQ7" s="33">
        <f>LN(AL7)</f>
        <v>2.6390573296152584</v>
      </c>
      <c r="AR7" s="33">
        <f>1/AN7</f>
        <v>1.1724137931034484</v>
      </c>
      <c r="AS7" s="33">
        <f>LN(LN(AR7))</f>
        <v>-1.8384442750534986</v>
      </c>
      <c r="AT7" s="33">
        <f>LN(AL7)</f>
        <v>2.6390573296152584</v>
      </c>
      <c r="AU7" s="33">
        <f>AT7*AT7</f>
        <v>6.9646235889960186</v>
      </c>
      <c r="AV7" s="33">
        <f>AT7*AS7</f>
        <v>-4.8517598391691461</v>
      </c>
      <c r="AW7" s="33">
        <f>EXP(-((AL7/$K$65)^$K$66))</f>
        <v>0.9293050505970184</v>
      </c>
      <c r="AZ7" s="30">
        <f>AZ6+10</f>
        <v>10</v>
      </c>
      <c r="BA7" s="88">
        <f>EXP(-((AZ7/$AM$41)^$AM$42))</f>
        <v>0.88197986435800391</v>
      </c>
      <c r="BN7" s="30">
        <v>4</v>
      </c>
      <c r="BO7" s="33">
        <v>1</v>
      </c>
      <c r="BP7" s="88">
        <f>($BP$14-BO7+0.625)/($BP$14+0.25)</f>
        <v>0.9</v>
      </c>
      <c r="BQ7" s="88">
        <f t="shared" ref="BQ7:BQ12" si="3">1-BP7</f>
        <v>9.9999999999999978E-2</v>
      </c>
      <c r="BR7" s="33">
        <f>LN(LN(1/BP7))</f>
        <v>-2.2503673273124449</v>
      </c>
      <c r="BS7" s="33">
        <f>LN(BN7)</f>
        <v>1.3862943611198906</v>
      </c>
      <c r="BT7" s="33">
        <f>1/BP7</f>
        <v>1.1111111111111112</v>
      </c>
      <c r="BU7" s="33">
        <f>LN(LN(BT7))</f>
        <v>-2.2503673273124449</v>
      </c>
      <c r="BV7" s="33">
        <f>LN(BN7)</f>
        <v>1.3862943611198906</v>
      </c>
      <c r="BW7" s="33">
        <f>BV7*BV7</f>
        <v>1.9218120556728056</v>
      </c>
      <c r="BX7" s="33">
        <f>BV7*BU7</f>
        <v>-3.1196715363016816</v>
      </c>
      <c r="BY7" s="33">
        <f>EXP(-((BN7/$K$65)^$K$66))</f>
        <v>0.98551609895312653</v>
      </c>
      <c r="CB7" s="30">
        <f>CB6+10</f>
        <v>10</v>
      </c>
      <c r="CC7" s="88">
        <f>EXP(-((CB7/$BO$43)^$BO$44))</f>
        <v>0.84870520987746656</v>
      </c>
    </row>
    <row r="8" spans="2:81" x14ac:dyDescent="0.25">
      <c r="B8" s="6">
        <f t="shared" si="0"/>
        <v>260</v>
      </c>
      <c r="C8" s="5">
        <v>40441</v>
      </c>
      <c r="D8" s="6" t="s">
        <v>338</v>
      </c>
      <c r="E8" s="34">
        <v>180</v>
      </c>
      <c r="F8" s="34">
        <f t="shared" si="1"/>
        <v>141</v>
      </c>
      <c r="G8" s="34">
        <v>141</v>
      </c>
      <c r="H8" s="34">
        <v>1</v>
      </c>
      <c r="J8" s="102"/>
      <c r="K8" s="103"/>
      <c r="L8" s="104"/>
      <c r="M8" s="104"/>
      <c r="N8" s="104"/>
      <c r="O8" s="104"/>
      <c r="P8" s="104"/>
      <c r="Q8" s="104"/>
      <c r="R8" s="104"/>
      <c r="S8" s="104"/>
      <c r="T8" s="104"/>
      <c r="U8" s="104"/>
      <c r="X8" s="102"/>
      <c r="Y8" s="104"/>
      <c r="AL8" s="30">
        <v>110</v>
      </c>
      <c r="AM8" s="33">
        <v>2</v>
      </c>
      <c r="AN8" s="88">
        <f t="shared" ref="AN8:AN10" si="4">($AN$12-K15+0.625)/($AN$12+0.25)</f>
        <v>0.61764705882352944</v>
      </c>
      <c r="AO8" s="88">
        <f t="shared" si="2"/>
        <v>0.38235294117647056</v>
      </c>
      <c r="AP8" s="33">
        <f t="shared" ref="AP8:AP10" si="5">LN(LN(1/AN8))</f>
        <v>-0.73014714067473785</v>
      </c>
      <c r="AQ8" s="33">
        <f t="shared" ref="AQ8:AQ10" si="6">LN(AL8)</f>
        <v>4.7004803657924166</v>
      </c>
      <c r="AR8" s="33">
        <f t="shared" ref="AR8:AR10" si="7">1/AN8</f>
        <v>1.6190476190476191</v>
      </c>
      <c r="AS8" s="33">
        <f t="shared" ref="AS8:AS10" si="8">LN(LN(AR8))</f>
        <v>-0.73014714067473785</v>
      </c>
      <c r="AT8" s="33">
        <f t="shared" ref="AT8:AT10" si="9">LN(AL8)</f>
        <v>4.7004803657924166</v>
      </c>
      <c r="AU8" s="33">
        <f t="shared" ref="AU8:AU10" si="10">AT8*AT8</f>
        <v>22.09451566920001</v>
      </c>
      <c r="AV8" s="33">
        <f t="shared" ref="AV8:AV10" si="11">AT8*AS8</f>
        <v>-3.4320422988810786</v>
      </c>
      <c r="AW8" s="33">
        <f t="shared" ref="AW8:AW10" si="12">EXP(-((AL8/$K$65)^$K$66))</f>
        <v>0.35181126719536604</v>
      </c>
      <c r="AZ8" s="30">
        <f t="shared" ref="AZ8:AZ34" si="13">AZ7+10</f>
        <v>20</v>
      </c>
      <c r="BA8" s="88">
        <f t="shared" ref="BA8:BA37" si="14">EXP(-((AZ8/$AM$41)^$AM$42))</f>
        <v>0.82930776881694979</v>
      </c>
      <c r="BN8" s="30">
        <v>28</v>
      </c>
      <c r="BO8" s="33">
        <v>2</v>
      </c>
      <c r="BP8" s="88">
        <f t="shared" ref="BP8:BP12" si="15">($BP$14-BO8+0.625)/($BP$14+0.25)</f>
        <v>0.74</v>
      </c>
      <c r="BQ8" s="88">
        <f t="shared" si="3"/>
        <v>0.26</v>
      </c>
      <c r="BR8" s="33">
        <f t="shared" ref="BR8:BR12" si="16">LN(LN(1/BP8))</f>
        <v>-1.2002959297088209</v>
      </c>
      <c r="BS8" s="33">
        <f t="shared" ref="BS8:BS12" si="17">LN(BN8)</f>
        <v>3.3322045101752038</v>
      </c>
      <c r="BT8" s="33">
        <f t="shared" ref="BT8:BT12" si="18">1/BP8</f>
        <v>1.3513513513513513</v>
      </c>
      <c r="BU8" s="33">
        <f t="shared" ref="BU8:BU12" si="19">LN(LN(BT8))</f>
        <v>-1.2002959297088209</v>
      </c>
      <c r="BV8" s="33">
        <f t="shared" ref="BV8:BV12" si="20">LN(BN8)</f>
        <v>3.3322045101752038</v>
      </c>
      <c r="BW8" s="33">
        <f t="shared" ref="BW8:BW12" si="21">BV8*BV8</f>
        <v>11.10358689763197</v>
      </c>
      <c r="BX8" s="33">
        <f t="shared" ref="BX8:BX12" si="22">BV8*BU8</f>
        <v>-3.9996315105206723</v>
      </c>
      <c r="BY8" s="33">
        <f t="shared" ref="BY8:BY12" si="23">EXP(-((BN8/$K$65)^$K$66))</f>
        <v>0.83599963494326002</v>
      </c>
      <c r="CB8" s="30">
        <f t="shared" ref="CB8:CB24" si="24">CB7+10</f>
        <v>20</v>
      </c>
      <c r="CC8" s="88">
        <f t="shared" ref="CC8:CC37" si="25">EXP(-((CB8/$BO$43)^$BO$44))</f>
        <v>0.78460225302293907</v>
      </c>
    </row>
    <row r="9" spans="2:81" x14ac:dyDescent="0.25">
      <c r="B9" s="6">
        <f t="shared" si="0"/>
        <v>267</v>
      </c>
      <c r="C9" s="5">
        <v>40448</v>
      </c>
      <c r="D9" s="6" t="s">
        <v>338</v>
      </c>
      <c r="E9" s="34">
        <v>120</v>
      </c>
      <c r="F9" s="34">
        <f t="shared" si="1"/>
        <v>7</v>
      </c>
      <c r="G9" s="34">
        <v>7</v>
      </c>
      <c r="H9" s="34">
        <v>2</v>
      </c>
      <c r="J9" s="102"/>
      <c r="K9" s="103"/>
      <c r="L9" s="104"/>
      <c r="M9" s="104"/>
      <c r="N9" s="104"/>
      <c r="O9" s="104"/>
      <c r="P9" s="104"/>
      <c r="Q9" s="104"/>
      <c r="R9" s="104"/>
      <c r="S9" s="104"/>
      <c r="T9" s="104"/>
      <c r="U9" s="104"/>
      <c r="X9" s="102"/>
      <c r="Y9" s="104"/>
      <c r="AL9" s="30">
        <v>492</v>
      </c>
      <c r="AM9" s="33">
        <v>3</v>
      </c>
      <c r="AN9" s="88">
        <f t="shared" si="4"/>
        <v>0.38235294117647056</v>
      </c>
      <c r="AO9" s="88">
        <f t="shared" si="2"/>
        <v>0.61764705882352944</v>
      </c>
      <c r="AP9" s="33">
        <f t="shared" si="5"/>
        <v>-3.9353108076292651E-2</v>
      </c>
      <c r="AQ9" s="33">
        <f t="shared" si="6"/>
        <v>6.1984787164923079</v>
      </c>
      <c r="AR9" s="33">
        <f t="shared" si="7"/>
        <v>2.6153846153846154</v>
      </c>
      <c r="AS9" s="33">
        <f t="shared" si="8"/>
        <v>-3.9353108076292651E-2</v>
      </c>
      <c r="AT9" s="33">
        <f t="shared" si="9"/>
        <v>6.1984787164923079</v>
      </c>
      <c r="AU9" s="33">
        <f t="shared" si="10"/>
        <v>38.421138398808125</v>
      </c>
      <c r="AV9" s="33">
        <f t="shared" si="11"/>
        <v>-0.24392940283872155</v>
      </c>
      <c r="AW9" s="33">
        <f t="shared" si="12"/>
        <v>7.4582863348114702E-4</v>
      </c>
      <c r="AZ9" s="30">
        <f t="shared" si="13"/>
        <v>30</v>
      </c>
      <c r="BA9" s="88">
        <f t="shared" si="14"/>
        <v>0.78949169993516344</v>
      </c>
      <c r="BN9" s="30">
        <v>113</v>
      </c>
      <c r="BO9" s="33">
        <v>3</v>
      </c>
      <c r="BP9" s="88">
        <f t="shared" si="15"/>
        <v>0.57999999999999996</v>
      </c>
      <c r="BQ9" s="88">
        <f t="shared" si="3"/>
        <v>0.42000000000000004</v>
      </c>
      <c r="BR9" s="33">
        <f t="shared" si="16"/>
        <v>-0.60747020517852923</v>
      </c>
      <c r="BS9" s="33">
        <f t="shared" si="17"/>
        <v>4.7273878187123408</v>
      </c>
      <c r="BT9" s="33">
        <f t="shared" si="18"/>
        <v>1.7241379310344829</v>
      </c>
      <c r="BU9" s="33">
        <f t="shared" si="19"/>
        <v>-0.60747020517852923</v>
      </c>
      <c r="BV9" s="33">
        <f t="shared" si="20"/>
        <v>4.7273878187123408</v>
      </c>
      <c r="BW9" s="33">
        <f t="shared" si="21"/>
        <v>22.348195588509824</v>
      </c>
      <c r="BX9" s="33">
        <f t="shared" si="22"/>
        <v>-2.8717472481916655</v>
      </c>
      <c r="BY9" s="33">
        <f t="shared" si="23"/>
        <v>0.33907932124175089</v>
      </c>
      <c r="CB9" s="30">
        <f t="shared" si="24"/>
        <v>30</v>
      </c>
      <c r="CC9" s="88">
        <f t="shared" si="25"/>
        <v>0.73715779673646864</v>
      </c>
    </row>
    <row r="10" spans="2:81" x14ac:dyDescent="0.25">
      <c r="B10" s="6">
        <f t="shared" si="0"/>
        <v>401</v>
      </c>
      <c r="C10" s="5">
        <v>40585</v>
      </c>
      <c r="D10" s="6" t="s">
        <v>338</v>
      </c>
      <c r="E10" s="33">
        <v>360</v>
      </c>
      <c r="F10" s="34">
        <f t="shared" si="1"/>
        <v>137</v>
      </c>
      <c r="G10" s="34">
        <v>137</v>
      </c>
      <c r="H10" s="34">
        <v>2</v>
      </c>
      <c r="J10" s="102"/>
      <c r="K10" s="103"/>
      <c r="L10" s="104"/>
      <c r="M10" s="104"/>
      <c r="N10" s="104"/>
      <c r="O10" s="104"/>
      <c r="P10" s="104"/>
      <c r="Q10" s="104"/>
      <c r="R10" s="104"/>
      <c r="S10" s="104"/>
      <c r="T10" s="104"/>
      <c r="U10" s="104"/>
      <c r="X10" s="102"/>
      <c r="Y10" s="104"/>
      <c r="AL10" s="30">
        <v>804</v>
      </c>
      <c r="AM10" s="33">
        <v>4</v>
      </c>
      <c r="AN10" s="88">
        <f t="shared" si="4"/>
        <v>0.14705882352941177</v>
      </c>
      <c r="AO10" s="88">
        <f t="shared" si="2"/>
        <v>0.8529411764705882</v>
      </c>
      <c r="AP10" s="33">
        <f t="shared" si="5"/>
        <v>0.65072109401654632</v>
      </c>
      <c r="AQ10" s="33">
        <f t="shared" si="6"/>
        <v>6.6895992691789665</v>
      </c>
      <c r="AR10" s="33">
        <f t="shared" si="7"/>
        <v>6.8</v>
      </c>
      <c r="AS10" s="33">
        <f t="shared" si="8"/>
        <v>0.65072109401654632</v>
      </c>
      <c r="AT10" s="33">
        <f t="shared" si="9"/>
        <v>6.6895992691789665</v>
      </c>
      <c r="AU10" s="33">
        <f t="shared" si="10"/>
        <v>44.750738382199764</v>
      </c>
      <c r="AV10" s="33">
        <f t="shared" si="11"/>
        <v>4.3530633549724262</v>
      </c>
      <c r="AW10" s="33">
        <f t="shared" si="12"/>
        <v>1.2906959960105755E-6</v>
      </c>
      <c r="AZ10" s="30">
        <f t="shared" si="13"/>
        <v>40</v>
      </c>
      <c r="BA10" s="88">
        <f t="shared" si="14"/>
        <v>0.75658911197338552</v>
      </c>
      <c r="BN10" s="30">
        <v>314</v>
      </c>
      <c r="BO10" s="33">
        <v>4</v>
      </c>
      <c r="BP10" s="88">
        <f t="shared" si="15"/>
        <v>0.42</v>
      </c>
      <c r="BQ10" s="88">
        <f t="shared" si="3"/>
        <v>0.58000000000000007</v>
      </c>
      <c r="BR10" s="33">
        <f t="shared" si="16"/>
        <v>-0.14213911274667057</v>
      </c>
      <c r="BS10" s="33">
        <f t="shared" si="17"/>
        <v>5.7493929859082531</v>
      </c>
      <c r="BT10" s="33">
        <f t="shared" si="18"/>
        <v>2.3809523809523809</v>
      </c>
      <c r="BU10" s="33">
        <f t="shared" si="19"/>
        <v>-0.14213911274667057</v>
      </c>
      <c r="BV10" s="33">
        <f t="shared" si="20"/>
        <v>5.7493929859082531</v>
      </c>
      <c r="BW10" s="33">
        <f t="shared" si="21"/>
        <v>33.055519706411019</v>
      </c>
      <c r="BX10" s="33">
        <f t="shared" si="22"/>
        <v>-0.8172136178489301</v>
      </c>
      <c r="BY10" s="33">
        <f t="shared" si="23"/>
        <v>1.7652805564339895E-2</v>
      </c>
      <c r="CB10" s="30">
        <f t="shared" si="24"/>
        <v>40</v>
      </c>
      <c r="CC10" s="88">
        <f t="shared" si="25"/>
        <v>0.69857576416050471</v>
      </c>
    </row>
    <row r="11" spans="2:81" x14ac:dyDescent="0.25">
      <c r="B11" s="6">
        <f t="shared" si="0"/>
        <v>402</v>
      </c>
      <c r="C11" s="5">
        <v>40586</v>
      </c>
      <c r="D11" s="6" t="s">
        <v>338</v>
      </c>
      <c r="E11" s="33">
        <v>180</v>
      </c>
      <c r="F11" s="34">
        <f t="shared" si="1"/>
        <v>1</v>
      </c>
      <c r="G11" s="34">
        <v>1</v>
      </c>
      <c r="H11" s="34">
        <v>4</v>
      </c>
      <c r="J11" s="102"/>
      <c r="K11" s="103"/>
      <c r="L11" s="104"/>
      <c r="M11" s="104"/>
      <c r="N11" s="104"/>
      <c r="O11" s="104"/>
      <c r="P11" s="104"/>
      <c r="Q11" s="104"/>
      <c r="R11" s="104"/>
      <c r="S11" s="104"/>
      <c r="T11" s="104"/>
      <c r="U11" s="104"/>
      <c r="X11" s="102"/>
      <c r="Y11" s="104"/>
      <c r="AZ11" s="30">
        <f t="shared" si="13"/>
        <v>50</v>
      </c>
      <c r="BA11" s="88">
        <f t="shared" si="14"/>
        <v>0.72820971965486303</v>
      </c>
      <c r="BN11" s="30">
        <v>414</v>
      </c>
      <c r="BO11" s="33">
        <v>5</v>
      </c>
      <c r="BP11" s="88">
        <f t="shared" si="15"/>
        <v>0.26</v>
      </c>
      <c r="BQ11" s="88">
        <f t="shared" si="3"/>
        <v>0.74</v>
      </c>
      <c r="BR11" s="33">
        <f t="shared" si="16"/>
        <v>0.29793457148413716</v>
      </c>
      <c r="BS11" s="33">
        <f t="shared" si="17"/>
        <v>6.0258659738253142</v>
      </c>
      <c r="BT11" s="33">
        <f t="shared" si="18"/>
        <v>3.8461538461538458</v>
      </c>
      <c r="BU11" s="33">
        <f t="shared" si="19"/>
        <v>0.29793457148413716</v>
      </c>
      <c r="BV11" s="33">
        <f t="shared" si="20"/>
        <v>6.0258659738253142</v>
      </c>
      <c r="BW11" s="33">
        <f t="shared" si="21"/>
        <v>36.311060734505702</v>
      </c>
      <c r="BX11" s="33">
        <f t="shared" si="22"/>
        <v>1.7953137967324879</v>
      </c>
      <c r="BY11" s="33">
        <f t="shared" si="23"/>
        <v>3.1360482373675633E-3</v>
      </c>
      <c r="CB11" s="30">
        <f t="shared" si="24"/>
        <v>50</v>
      </c>
      <c r="CC11" s="88">
        <f t="shared" si="25"/>
        <v>0.6657411735382347</v>
      </c>
    </row>
    <row r="12" spans="2:81" x14ac:dyDescent="0.25">
      <c r="B12" s="6">
        <f t="shared" si="0"/>
        <v>404</v>
      </c>
      <c r="C12" s="5">
        <v>40588</v>
      </c>
      <c r="D12" s="6" t="s">
        <v>338</v>
      </c>
      <c r="E12" s="33">
        <v>120</v>
      </c>
      <c r="F12" s="34">
        <f t="shared" si="1"/>
        <v>2</v>
      </c>
      <c r="G12" s="34">
        <v>2</v>
      </c>
      <c r="H12" s="34">
        <v>7</v>
      </c>
      <c r="J12" s="102"/>
      <c r="K12" s="103"/>
      <c r="L12" s="104"/>
      <c r="M12" s="104"/>
      <c r="N12" s="104"/>
      <c r="O12" s="104"/>
      <c r="P12" s="104"/>
      <c r="Q12" s="104"/>
      <c r="R12" s="104"/>
      <c r="S12" s="104"/>
      <c r="T12" s="104"/>
      <c r="U12" s="104"/>
      <c r="X12" s="102"/>
      <c r="Y12" s="104"/>
      <c r="AL12" s="59"/>
      <c r="AM12" s="80" t="s">
        <v>285</v>
      </c>
      <c r="AN12" s="81">
        <f>COUNT(AM7:AM10)</f>
        <v>4</v>
      </c>
      <c r="AO12" s="93"/>
      <c r="AP12" s="93"/>
      <c r="AR12" s="80" t="s">
        <v>325</v>
      </c>
      <c r="AS12">
        <f>SUM(AS6:AS10)</f>
        <v>-1.9572234297879825</v>
      </c>
      <c r="AT12">
        <f>SUM(AT6:AT10)</f>
        <v>20.227615681078948</v>
      </c>
      <c r="AU12">
        <f>SUM(AU6:AU10)</f>
        <v>112.23101603920392</v>
      </c>
      <c r="AV12">
        <f>SUM(AV6:AV10)</f>
        <v>-4.1746681859165209</v>
      </c>
      <c r="AW12" s="93"/>
      <c r="AZ12" s="30">
        <f t="shared" si="13"/>
        <v>60</v>
      </c>
      <c r="BA12" s="88">
        <f t="shared" si="14"/>
        <v>0.70309594351178428</v>
      </c>
      <c r="BN12" s="30">
        <v>587</v>
      </c>
      <c r="BO12" s="33">
        <v>6</v>
      </c>
      <c r="BP12" s="88">
        <f t="shared" si="15"/>
        <v>0.1</v>
      </c>
      <c r="BQ12" s="88">
        <f t="shared" si="3"/>
        <v>0.9</v>
      </c>
      <c r="BR12" s="33">
        <f t="shared" si="16"/>
        <v>0.83403244524795594</v>
      </c>
      <c r="BS12" s="33">
        <f t="shared" si="17"/>
        <v>6.3750248198280968</v>
      </c>
      <c r="BT12" s="33">
        <f t="shared" si="18"/>
        <v>10</v>
      </c>
      <c r="BU12" s="33">
        <f t="shared" si="19"/>
        <v>0.83403244524795594</v>
      </c>
      <c r="BV12" s="33">
        <f t="shared" si="20"/>
        <v>6.3750248198280968</v>
      </c>
      <c r="BW12" s="33">
        <f t="shared" si="21"/>
        <v>40.640941453424254</v>
      </c>
      <c r="BX12" s="33">
        <f t="shared" si="22"/>
        <v>5.3169775389976373</v>
      </c>
      <c r="BY12" s="33">
        <f t="shared" si="23"/>
        <v>1.1848001586836548E-4</v>
      </c>
      <c r="CB12" s="30">
        <f t="shared" si="24"/>
        <v>60</v>
      </c>
      <c r="CC12" s="88">
        <f t="shared" si="25"/>
        <v>0.63702379135651777</v>
      </c>
    </row>
    <row r="13" spans="2:81" x14ac:dyDescent="0.25">
      <c r="B13" s="6">
        <f t="shared" si="0"/>
        <v>461</v>
      </c>
      <c r="C13" s="5">
        <v>40644</v>
      </c>
      <c r="D13" s="6" t="s">
        <v>338</v>
      </c>
      <c r="E13" s="33">
        <v>360</v>
      </c>
      <c r="F13" s="34">
        <f t="shared" si="1"/>
        <v>56</v>
      </c>
      <c r="G13" s="34">
        <v>56</v>
      </c>
      <c r="H13" s="34">
        <v>7</v>
      </c>
      <c r="J13" s="102"/>
      <c r="K13" s="103"/>
      <c r="L13" s="104"/>
      <c r="M13" s="104"/>
      <c r="N13" s="104"/>
      <c r="O13" s="104"/>
      <c r="P13" s="104"/>
      <c r="Q13" s="104"/>
      <c r="R13" s="104"/>
      <c r="S13" s="104"/>
      <c r="T13" s="104"/>
      <c r="U13" s="6">
        <f t="shared" ref="U13:U34" si="26">EXP(-((J13/$K$65)^$K$66))</f>
        <v>1</v>
      </c>
      <c r="X13" s="30">
        <v>0</v>
      </c>
      <c r="Y13" s="6">
        <f t="shared" ref="Y13:Y44" si="27">EXP(-((X13/$K$65)^$K$66))</f>
        <v>1</v>
      </c>
      <c r="AO13" s="93"/>
      <c r="AP13" s="93"/>
      <c r="AQ13" s="93"/>
      <c r="AR13" s="93"/>
      <c r="AS13" s="93"/>
      <c r="AT13" s="93"/>
      <c r="AU13" s="93"/>
      <c r="AV13" s="93"/>
      <c r="AW13" s="60"/>
      <c r="AZ13" s="30">
        <f t="shared" si="13"/>
        <v>70</v>
      </c>
      <c r="BA13" s="88">
        <f t="shared" si="14"/>
        <v>0.68048604539440938</v>
      </c>
      <c r="CB13" s="30">
        <f t="shared" si="24"/>
        <v>70</v>
      </c>
      <c r="CC13" s="88">
        <f t="shared" si="25"/>
        <v>0.61144071658952437</v>
      </c>
    </row>
    <row r="14" spans="2:81" x14ac:dyDescent="0.25">
      <c r="B14" s="6">
        <f t="shared" si="0"/>
        <v>497</v>
      </c>
      <c r="C14" s="5">
        <v>40680</v>
      </c>
      <c r="D14" s="6" t="s">
        <v>338</v>
      </c>
      <c r="E14" s="33">
        <v>150</v>
      </c>
      <c r="F14" s="34">
        <f t="shared" si="1"/>
        <v>36</v>
      </c>
      <c r="G14" s="34">
        <v>36</v>
      </c>
      <c r="H14" s="34">
        <v>9</v>
      </c>
      <c r="J14" s="34">
        <v>10</v>
      </c>
      <c r="K14" s="6">
        <v>1</v>
      </c>
      <c r="L14" s="83">
        <f t="shared" ref="L14:L34" si="28">($L$36-K14+0.625)/($L$36+0.25)</f>
        <v>0.97058823529411764</v>
      </c>
      <c r="M14" s="83">
        <f t="shared" ref="M14:M34" si="29">1-L14</f>
        <v>2.9411764705882359E-2</v>
      </c>
      <c r="N14" s="6">
        <f>LN(LN(1/L14))</f>
        <v>-3.5114711760742496</v>
      </c>
      <c r="O14" s="6">
        <f>LN(J14)</f>
        <v>2.3025850929940459</v>
      </c>
      <c r="P14" s="6">
        <f>1/L14</f>
        <v>1.0303030303030303</v>
      </c>
      <c r="Q14" s="6">
        <f>LN(LN(P14))</f>
        <v>-3.5114711760742496</v>
      </c>
      <c r="R14" s="6">
        <f>LN(J14)</f>
        <v>2.3025850929940459</v>
      </c>
      <c r="S14" s="6">
        <f>R14*R14</f>
        <v>5.3018981104783993</v>
      </c>
      <c r="T14" s="6">
        <f>R14*Q14</f>
        <v>-8.0854611845068387</v>
      </c>
      <c r="U14" s="6">
        <f t="shared" si="26"/>
        <v>0.95358988559465729</v>
      </c>
      <c r="X14" s="34">
        <v>10</v>
      </c>
      <c r="Y14" s="6">
        <f t="shared" si="27"/>
        <v>0.95358988559465729</v>
      </c>
      <c r="AL14" t="s">
        <v>294</v>
      </c>
      <c r="AZ14" s="30">
        <f t="shared" si="13"/>
        <v>80</v>
      </c>
      <c r="BA14" s="88">
        <f t="shared" si="14"/>
        <v>0.65987587425146421</v>
      </c>
      <c r="BN14" s="59"/>
      <c r="BO14" s="80" t="s">
        <v>285</v>
      </c>
      <c r="BP14" s="81">
        <f>COUNT(BO7:BO12)</f>
        <v>6</v>
      </c>
      <c r="BQ14" s="93"/>
      <c r="BR14" s="93"/>
      <c r="BT14" s="80" t="s">
        <v>325</v>
      </c>
      <c r="BU14">
        <f>SUM(BU6:BU12)</f>
        <v>-3.0683055582143735</v>
      </c>
      <c r="BV14">
        <f>SUM(BV6:BV12)</f>
        <v>27.596170469569095</v>
      </c>
      <c r="BW14">
        <f>SUM(BW6:BW12)</f>
        <v>145.38111643615557</v>
      </c>
      <c r="BX14">
        <f>SUM(BX6:BX12)</f>
        <v>-3.6959725771328245</v>
      </c>
      <c r="BY14" s="93"/>
      <c r="CB14" s="30">
        <f t="shared" si="24"/>
        <v>80</v>
      </c>
      <c r="CC14" s="88">
        <f t="shared" si="25"/>
        <v>0.58834417875511702</v>
      </c>
    </row>
    <row r="15" spans="2:81" x14ac:dyDescent="0.25">
      <c r="B15" s="6">
        <f t="shared" si="0"/>
        <v>497</v>
      </c>
      <c r="C15" s="5">
        <v>40680</v>
      </c>
      <c r="D15" s="6" t="s">
        <v>338</v>
      </c>
      <c r="E15" s="33">
        <v>150</v>
      </c>
      <c r="F15" s="34">
        <f t="shared" si="1"/>
        <v>0</v>
      </c>
      <c r="G15" s="34">
        <v>0</v>
      </c>
      <c r="H15" s="34">
        <v>10</v>
      </c>
      <c r="J15" s="34">
        <v>16</v>
      </c>
      <c r="K15" s="6">
        <v>2</v>
      </c>
      <c r="L15" s="83">
        <f t="shared" si="28"/>
        <v>0.92352941176470593</v>
      </c>
      <c r="M15" s="83">
        <f t="shared" si="29"/>
        <v>7.6470588235294068E-2</v>
      </c>
      <c r="N15" s="6">
        <f t="shared" ref="N15:N34" si="30">LN(LN(1/L15))</f>
        <v>-2.5313364423828393</v>
      </c>
      <c r="O15" s="6">
        <f t="shared" ref="O15:O34" si="31">LN(J15)</f>
        <v>2.7725887222397811</v>
      </c>
      <c r="P15" s="6">
        <f t="shared" ref="P15:P34" si="32">1/L15</f>
        <v>1.0828025477707006</v>
      </c>
      <c r="Q15" s="6">
        <f t="shared" ref="Q15:Q34" si="33">LN(LN(P15))</f>
        <v>-2.5313364423828393</v>
      </c>
      <c r="R15" s="6">
        <f t="shared" ref="R15:R34" si="34">LN(J15)</f>
        <v>2.7725887222397811</v>
      </c>
      <c r="S15" s="6">
        <f t="shared" ref="S15:S34" si="35">R15*R15</f>
        <v>7.6872482226912222</v>
      </c>
      <c r="T15" s="6">
        <f t="shared" ref="T15:T34" si="36">R15*Q15</f>
        <v>-7.0183548723452294</v>
      </c>
      <c r="U15" s="6">
        <f t="shared" si="26"/>
        <v>0.91659823619169034</v>
      </c>
      <c r="X15" s="34">
        <f>X14+10</f>
        <v>20</v>
      </c>
      <c r="Y15" s="6">
        <f t="shared" si="27"/>
        <v>0.89038425974744972</v>
      </c>
      <c r="AZ15" s="30">
        <f t="shared" si="13"/>
        <v>90</v>
      </c>
      <c r="BA15" s="88">
        <f t="shared" si="14"/>
        <v>0.64091065570795402</v>
      </c>
      <c r="BQ15" s="93"/>
      <c r="BR15" s="93"/>
      <c r="BS15" s="93"/>
      <c r="BT15" s="93"/>
      <c r="BU15" s="93"/>
      <c r="BV15" s="93"/>
      <c r="BW15" s="93"/>
      <c r="BX15" s="93"/>
      <c r="BY15" s="60"/>
      <c r="CB15" s="30">
        <f t="shared" si="24"/>
        <v>90</v>
      </c>
      <c r="CC15" s="88">
        <f t="shared" si="25"/>
        <v>0.56728015147853939</v>
      </c>
    </row>
    <row r="16" spans="2:81" x14ac:dyDescent="0.25">
      <c r="B16" s="6">
        <f t="shared" si="0"/>
        <v>504</v>
      </c>
      <c r="C16" s="5">
        <v>40687</v>
      </c>
      <c r="D16" s="6" t="s">
        <v>338</v>
      </c>
      <c r="E16" s="33">
        <v>180</v>
      </c>
      <c r="F16" s="34">
        <f t="shared" si="1"/>
        <v>7</v>
      </c>
      <c r="G16" s="34">
        <v>7</v>
      </c>
      <c r="H16" s="34">
        <v>16</v>
      </c>
      <c r="J16" s="34">
        <v>23</v>
      </c>
      <c r="K16" s="6">
        <v>3</v>
      </c>
      <c r="L16" s="83">
        <f t="shared" si="28"/>
        <v>0.87647058823529411</v>
      </c>
      <c r="M16" s="83">
        <f t="shared" si="29"/>
        <v>0.12352941176470589</v>
      </c>
      <c r="N16" s="6">
        <f t="shared" si="30"/>
        <v>-2.0260742032129504</v>
      </c>
      <c r="O16" s="6">
        <f t="shared" si="31"/>
        <v>3.1354942159291497</v>
      </c>
      <c r="P16" s="6">
        <f t="shared" si="32"/>
        <v>1.1409395973154361</v>
      </c>
      <c r="Q16" s="6">
        <f t="shared" si="33"/>
        <v>-2.0260742032129504</v>
      </c>
      <c r="R16" s="6">
        <f t="shared" si="34"/>
        <v>3.1354942159291497</v>
      </c>
      <c r="S16" s="6">
        <f t="shared" si="35"/>
        <v>9.8313239781251536</v>
      </c>
      <c r="T16" s="6">
        <f t="shared" si="36"/>
        <v>-6.3527439452174663</v>
      </c>
      <c r="U16" s="6">
        <f t="shared" si="26"/>
        <v>0.87021432175974978</v>
      </c>
      <c r="X16" s="34">
        <f t="shared" ref="X16:X44" si="37">X15+10</f>
        <v>30</v>
      </c>
      <c r="Y16" s="6">
        <f t="shared" si="27"/>
        <v>0.82219021549116678</v>
      </c>
      <c r="AL16" t="s">
        <v>288</v>
      </c>
      <c r="AZ16" s="30">
        <f t="shared" si="13"/>
        <v>100</v>
      </c>
      <c r="BA16" s="88">
        <f t="shared" si="14"/>
        <v>0.62332921031262556</v>
      </c>
      <c r="BN16" t="s">
        <v>294</v>
      </c>
      <c r="CB16" s="30">
        <f t="shared" si="24"/>
        <v>100</v>
      </c>
      <c r="CC16" s="88">
        <f t="shared" si="25"/>
        <v>0.54791565523045804</v>
      </c>
    </row>
    <row r="17" spans="2:81" x14ac:dyDescent="0.25">
      <c r="B17" s="6">
        <f t="shared" si="0"/>
        <v>576</v>
      </c>
      <c r="C17" s="5">
        <v>40761</v>
      </c>
      <c r="D17" s="6" t="s">
        <v>338</v>
      </c>
      <c r="E17" s="33">
        <v>120</v>
      </c>
      <c r="F17" s="34">
        <f t="shared" si="1"/>
        <v>74</v>
      </c>
      <c r="G17" s="34">
        <v>74</v>
      </c>
      <c r="H17" s="34">
        <v>23</v>
      </c>
      <c r="J17" s="34">
        <v>26</v>
      </c>
      <c r="K17" s="6">
        <v>4</v>
      </c>
      <c r="L17" s="83">
        <f t="shared" si="28"/>
        <v>0.8294117647058824</v>
      </c>
      <c r="M17" s="83">
        <f t="shared" si="29"/>
        <v>0.1705882352941176</v>
      </c>
      <c r="N17" s="6">
        <f t="shared" si="30"/>
        <v>-1.6764405514334901</v>
      </c>
      <c r="O17" s="6">
        <f t="shared" si="31"/>
        <v>3.2580965380214821</v>
      </c>
      <c r="P17" s="6">
        <f t="shared" si="32"/>
        <v>1.2056737588652482</v>
      </c>
      <c r="Q17" s="6">
        <f t="shared" si="33"/>
        <v>-1.6764405514334901</v>
      </c>
      <c r="R17" s="6">
        <f t="shared" si="34"/>
        <v>3.2580965380214821</v>
      </c>
      <c r="S17" s="6">
        <f t="shared" si="35"/>
        <v>10.615193051067568</v>
      </c>
      <c r="T17" s="6">
        <f t="shared" si="36"/>
        <v>-5.4620051568242785</v>
      </c>
      <c r="U17" s="6">
        <f t="shared" si="26"/>
        <v>0.84975181600258709</v>
      </c>
      <c r="X17" s="34">
        <f t="shared" si="37"/>
        <v>40</v>
      </c>
      <c r="Y17" s="6">
        <f t="shared" si="27"/>
        <v>0.75302679914203541</v>
      </c>
      <c r="AZ17" s="30">
        <f t="shared" si="13"/>
        <v>110</v>
      </c>
      <c r="BA17" s="88">
        <f t="shared" si="14"/>
        <v>0.60693248377734976</v>
      </c>
      <c r="CB17" s="30">
        <f t="shared" si="24"/>
        <v>110</v>
      </c>
      <c r="CC17" s="88">
        <f t="shared" si="25"/>
        <v>0.52999784047495901</v>
      </c>
    </row>
    <row r="18" spans="2:81" x14ac:dyDescent="0.25">
      <c r="B18" s="6">
        <f t="shared" si="0"/>
        <v>801</v>
      </c>
      <c r="C18" s="5">
        <v>40989</v>
      </c>
      <c r="D18" s="6" t="s">
        <v>338</v>
      </c>
      <c r="E18" s="33">
        <v>30</v>
      </c>
      <c r="F18" s="34">
        <f t="shared" si="1"/>
        <v>228</v>
      </c>
      <c r="G18" s="34">
        <v>228</v>
      </c>
      <c r="H18" s="34">
        <v>26</v>
      </c>
      <c r="J18" s="34">
        <v>27</v>
      </c>
      <c r="K18" s="6">
        <v>5</v>
      </c>
      <c r="L18" s="83">
        <f t="shared" si="28"/>
        <v>0.78235294117647058</v>
      </c>
      <c r="M18" s="83">
        <f t="shared" si="29"/>
        <v>0.21764705882352942</v>
      </c>
      <c r="N18" s="6">
        <f t="shared" si="30"/>
        <v>-1.4046648344180435</v>
      </c>
      <c r="O18" s="6">
        <f t="shared" si="31"/>
        <v>3.2958368660043291</v>
      </c>
      <c r="P18" s="6">
        <f t="shared" si="32"/>
        <v>1.2781954887218046</v>
      </c>
      <c r="Q18" s="6">
        <f t="shared" si="33"/>
        <v>-1.4046648344180435</v>
      </c>
      <c r="R18" s="6">
        <f t="shared" si="34"/>
        <v>3.2958368660043291</v>
      </c>
      <c r="S18" s="6">
        <f t="shared" si="35"/>
        <v>10.862540647313239</v>
      </c>
      <c r="T18" s="6">
        <f t="shared" si="36"/>
        <v>-4.6295461456548539</v>
      </c>
      <c r="U18" s="6">
        <f t="shared" si="26"/>
        <v>0.84288445172117954</v>
      </c>
      <c r="X18" s="34">
        <f t="shared" si="37"/>
        <v>50</v>
      </c>
      <c r="Y18" s="6">
        <f t="shared" si="27"/>
        <v>0.68511740083277783</v>
      </c>
      <c r="AL18" t="s">
        <v>289</v>
      </c>
      <c r="AZ18" s="30">
        <f t="shared" si="13"/>
        <v>120</v>
      </c>
      <c r="BA18" s="88">
        <f t="shared" si="14"/>
        <v>0.59156454544421522</v>
      </c>
      <c r="BN18" t="s">
        <v>288</v>
      </c>
      <c r="CB18" s="30">
        <f t="shared" si="24"/>
        <v>120</v>
      </c>
      <c r="CC18" s="88">
        <f t="shared" si="25"/>
        <v>0.51332933586703799</v>
      </c>
    </row>
    <row r="19" spans="2:81" x14ac:dyDescent="0.25">
      <c r="B19" s="6">
        <f t="shared" si="0"/>
        <v>826</v>
      </c>
      <c r="C19" s="5">
        <v>41015</v>
      </c>
      <c r="D19" s="6" t="s">
        <v>338</v>
      </c>
      <c r="E19" s="33">
        <v>300</v>
      </c>
      <c r="F19" s="34">
        <f t="shared" si="1"/>
        <v>26</v>
      </c>
      <c r="G19" s="34">
        <v>26</v>
      </c>
      <c r="H19" s="34">
        <v>27</v>
      </c>
      <c r="J19" s="34">
        <v>32</v>
      </c>
      <c r="K19" s="6">
        <v>6</v>
      </c>
      <c r="L19" s="83">
        <f t="shared" si="28"/>
        <v>0.73529411764705888</v>
      </c>
      <c r="M19" s="83">
        <f t="shared" si="29"/>
        <v>0.26470588235294112</v>
      </c>
      <c r="N19" s="6">
        <f t="shared" si="30"/>
        <v>-1.1793299498906824</v>
      </c>
      <c r="O19" s="6">
        <f t="shared" si="31"/>
        <v>3.4657359027997265</v>
      </c>
      <c r="P19" s="6">
        <f t="shared" si="32"/>
        <v>1.3599999999999999</v>
      </c>
      <c r="Q19" s="6">
        <f t="shared" si="33"/>
        <v>-1.1793299498906824</v>
      </c>
      <c r="R19" s="6">
        <f t="shared" si="34"/>
        <v>3.4657359027997265</v>
      </c>
      <c r="S19" s="6">
        <f t="shared" si="35"/>
        <v>12.011325347955035</v>
      </c>
      <c r="T19" s="6">
        <f t="shared" si="36"/>
        <v>-4.0872461485831408</v>
      </c>
      <c r="U19" s="6">
        <f t="shared" si="26"/>
        <v>0.80834700979143503</v>
      </c>
      <c r="X19" s="34">
        <f t="shared" si="37"/>
        <v>60</v>
      </c>
      <c r="Y19" s="6">
        <f t="shared" si="27"/>
        <v>0.61981911789528166</v>
      </c>
      <c r="AZ19" s="30">
        <f t="shared" si="13"/>
        <v>130</v>
      </c>
      <c r="BA19" s="88">
        <f t="shared" si="14"/>
        <v>0.5771004889413508</v>
      </c>
      <c r="CB19" s="30">
        <f t="shared" si="24"/>
        <v>130</v>
      </c>
      <c r="CC19" s="88">
        <f t="shared" si="25"/>
        <v>0.49775258346685669</v>
      </c>
    </row>
    <row r="20" spans="2:81" x14ac:dyDescent="0.25">
      <c r="B20" s="6">
        <f t="shared" si="0"/>
        <v>828</v>
      </c>
      <c r="C20" s="5">
        <v>41017</v>
      </c>
      <c r="D20" s="6" t="s">
        <v>338</v>
      </c>
      <c r="E20" s="33">
        <v>120</v>
      </c>
      <c r="F20" s="34">
        <f t="shared" si="1"/>
        <v>2</v>
      </c>
      <c r="G20" s="34">
        <v>2</v>
      </c>
      <c r="H20" s="34">
        <v>32</v>
      </c>
      <c r="J20" s="34">
        <v>36</v>
      </c>
      <c r="K20" s="6">
        <v>7</v>
      </c>
      <c r="L20" s="83">
        <f t="shared" si="28"/>
        <v>0.68823529411764706</v>
      </c>
      <c r="M20" s="83">
        <f t="shared" si="29"/>
        <v>0.31176470588235294</v>
      </c>
      <c r="N20" s="6">
        <f t="shared" si="30"/>
        <v>-0.98450399059034954</v>
      </c>
      <c r="O20" s="6">
        <f t="shared" si="31"/>
        <v>3.5835189384561099</v>
      </c>
      <c r="P20" s="6">
        <f t="shared" si="32"/>
        <v>1.4529914529914529</v>
      </c>
      <c r="Q20" s="6">
        <f t="shared" si="33"/>
        <v>-0.98450399059034954</v>
      </c>
      <c r="R20" s="6">
        <f t="shared" si="34"/>
        <v>3.5835189384561099</v>
      </c>
      <c r="S20" s="6">
        <f t="shared" si="35"/>
        <v>12.841607982273604</v>
      </c>
      <c r="T20" s="6">
        <f t="shared" si="36"/>
        <v>-3.5279886952661332</v>
      </c>
      <c r="U20" s="6">
        <f t="shared" si="26"/>
        <v>0.7806412235725344</v>
      </c>
      <c r="X20" s="34">
        <f t="shared" si="37"/>
        <v>70</v>
      </c>
      <c r="Y20" s="6">
        <f t="shared" si="27"/>
        <v>0.55797096168278482</v>
      </c>
      <c r="AL20" t="s">
        <v>290</v>
      </c>
      <c r="AZ20" s="30">
        <f t="shared" si="13"/>
        <v>140</v>
      </c>
      <c r="BA20" s="88">
        <f t="shared" si="14"/>
        <v>0.56343839098801085</v>
      </c>
      <c r="BN20" t="s">
        <v>289</v>
      </c>
      <c r="CB20" s="30">
        <f t="shared" si="24"/>
        <v>140</v>
      </c>
      <c r="CC20" s="88">
        <f t="shared" si="25"/>
        <v>0.48313944849741663</v>
      </c>
    </row>
    <row r="21" spans="2:81" x14ac:dyDescent="0.25">
      <c r="B21" s="6">
        <f t="shared" si="0"/>
        <v>837</v>
      </c>
      <c r="C21" s="5">
        <v>41026</v>
      </c>
      <c r="D21" s="6" t="s">
        <v>338</v>
      </c>
      <c r="E21" s="33">
        <v>60</v>
      </c>
      <c r="F21" s="34">
        <f t="shared" si="1"/>
        <v>9</v>
      </c>
      <c r="G21" s="34">
        <v>9</v>
      </c>
      <c r="H21" s="34">
        <v>36</v>
      </c>
      <c r="J21" s="34">
        <v>56</v>
      </c>
      <c r="K21" s="6">
        <v>8</v>
      </c>
      <c r="L21" s="83">
        <f t="shared" si="28"/>
        <v>0.64117647058823535</v>
      </c>
      <c r="M21" s="83">
        <f t="shared" si="29"/>
        <v>0.35882352941176465</v>
      </c>
      <c r="N21" s="6">
        <f t="shared" si="30"/>
        <v>-0.81091646796332084</v>
      </c>
      <c r="O21" s="6">
        <f t="shared" si="31"/>
        <v>4.0253516907351496</v>
      </c>
      <c r="P21" s="6">
        <f t="shared" si="32"/>
        <v>1.5596330275229358</v>
      </c>
      <c r="Q21" s="6">
        <f t="shared" si="33"/>
        <v>-0.81091646796332084</v>
      </c>
      <c r="R21" s="6">
        <f t="shared" si="34"/>
        <v>4.0253516907351496</v>
      </c>
      <c r="S21" s="6">
        <f t="shared" si="35"/>
        <v>16.203456234104326</v>
      </c>
      <c r="T21" s="6">
        <f t="shared" si="36"/>
        <v>-3.2642239753611295</v>
      </c>
      <c r="U21" s="6">
        <f t="shared" si="26"/>
        <v>0.64556229017098199</v>
      </c>
      <c r="X21" s="34">
        <f t="shared" si="37"/>
        <v>80</v>
      </c>
      <c r="Y21" s="6">
        <f t="shared" si="27"/>
        <v>0.50006903412085479</v>
      </c>
      <c r="AL21" t="s">
        <v>291</v>
      </c>
      <c r="AZ21" s="30">
        <f t="shared" si="13"/>
        <v>150</v>
      </c>
      <c r="BA21" s="88">
        <f t="shared" si="14"/>
        <v>0.55049377551605472</v>
      </c>
      <c r="CB21" s="30">
        <f t="shared" si="24"/>
        <v>150</v>
      </c>
      <c r="CC21" s="88">
        <f t="shared" si="25"/>
        <v>0.46938407987557568</v>
      </c>
    </row>
    <row r="22" spans="2:81" x14ac:dyDescent="0.25">
      <c r="B22" s="6">
        <f t="shared" si="0"/>
        <v>864</v>
      </c>
      <c r="C22" s="5">
        <v>41053</v>
      </c>
      <c r="D22" s="6" t="s">
        <v>338</v>
      </c>
      <c r="E22" s="33">
        <v>60</v>
      </c>
      <c r="F22" s="34">
        <f t="shared" si="1"/>
        <v>27</v>
      </c>
      <c r="G22" s="34">
        <v>27</v>
      </c>
      <c r="H22" s="34">
        <v>56</v>
      </c>
      <c r="J22" s="34">
        <v>74</v>
      </c>
      <c r="K22" s="6">
        <v>9</v>
      </c>
      <c r="L22" s="83">
        <f t="shared" si="28"/>
        <v>0.59411764705882353</v>
      </c>
      <c r="M22" s="83">
        <f t="shared" si="29"/>
        <v>0.40588235294117647</v>
      </c>
      <c r="N22" s="6">
        <f t="shared" si="30"/>
        <v>-0.6526236237665145</v>
      </c>
      <c r="O22" s="6">
        <f t="shared" si="31"/>
        <v>4.3040650932041702</v>
      </c>
      <c r="P22" s="6">
        <f t="shared" si="32"/>
        <v>1.6831683168316831</v>
      </c>
      <c r="Q22" s="6">
        <f t="shared" si="33"/>
        <v>-0.6526236237665145</v>
      </c>
      <c r="R22" s="6">
        <f t="shared" si="34"/>
        <v>4.3040650932041702</v>
      </c>
      <c r="S22" s="6">
        <f t="shared" si="35"/>
        <v>18.524976326538621</v>
      </c>
      <c r="T22" s="6">
        <f t="shared" si="36"/>
        <v>-2.8089345580538665</v>
      </c>
      <c r="U22" s="6">
        <f t="shared" si="26"/>
        <v>0.53431774231424101</v>
      </c>
      <c r="X22" s="34">
        <f t="shared" si="37"/>
        <v>90</v>
      </c>
      <c r="Y22" s="6">
        <f t="shared" si="27"/>
        <v>0.44637065069913173</v>
      </c>
      <c r="AZ22" s="30">
        <f t="shared" si="13"/>
        <v>160</v>
      </c>
      <c r="BA22" s="88">
        <f t="shared" si="14"/>
        <v>0.53819568822446762</v>
      </c>
      <c r="BN22" t="s">
        <v>290</v>
      </c>
      <c r="CB22" s="30">
        <f t="shared" si="24"/>
        <v>160</v>
      </c>
      <c r="CC22" s="88">
        <f t="shared" si="25"/>
        <v>0.45639785698854118</v>
      </c>
    </row>
    <row r="23" spans="2:81" x14ac:dyDescent="0.25">
      <c r="B23" s="6">
        <f t="shared" si="0"/>
        <v>879</v>
      </c>
      <c r="C23" s="5">
        <v>41069</v>
      </c>
      <c r="D23" s="6" t="s">
        <v>338</v>
      </c>
      <c r="E23" s="33">
        <v>60</v>
      </c>
      <c r="F23" s="34">
        <f t="shared" si="1"/>
        <v>16</v>
      </c>
      <c r="G23" s="34">
        <v>16</v>
      </c>
      <c r="H23" s="34">
        <v>74</v>
      </c>
      <c r="J23" s="34">
        <v>74</v>
      </c>
      <c r="K23" s="6">
        <v>10</v>
      </c>
      <c r="L23" s="83">
        <f t="shared" si="28"/>
        <v>0.54705882352941182</v>
      </c>
      <c r="M23" s="83">
        <f t="shared" si="29"/>
        <v>0.45294117647058818</v>
      </c>
      <c r="N23" s="6">
        <f t="shared" si="30"/>
        <v>-0.50550821312380001</v>
      </c>
      <c r="O23" s="6">
        <f t="shared" si="31"/>
        <v>4.3040650932041702</v>
      </c>
      <c r="P23" s="6">
        <f t="shared" si="32"/>
        <v>1.8279569892473115</v>
      </c>
      <c r="Q23" s="6">
        <f t="shared" si="33"/>
        <v>-0.50550821312380001</v>
      </c>
      <c r="R23" s="6">
        <f t="shared" si="34"/>
        <v>4.3040650932041702</v>
      </c>
      <c r="S23" s="6">
        <f t="shared" si="35"/>
        <v>18.524976326538621</v>
      </c>
      <c r="T23" s="6">
        <f t="shared" si="36"/>
        <v>-2.175740254434162</v>
      </c>
      <c r="U23" s="6">
        <f t="shared" si="26"/>
        <v>0.53431774231424101</v>
      </c>
      <c r="X23" s="34">
        <f t="shared" si="37"/>
        <v>100</v>
      </c>
      <c r="Y23" s="6">
        <f t="shared" si="27"/>
        <v>0.39696296816569576</v>
      </c>
      <c r="AL23" s="106" t="s">
        <v>315</v>
      </c>
      <c r="AZ23" s="30">
        <f t="shared" si="13"/>
        <v>170</v>
      </c>
      <c r="BA23" s="88">
        <f t="shared" si="14"/>
        <v>0.52648384216679267</v>
      </c>
      <c r="BN23" t="s">
        <v>291</v>
      </c>
      <c r="CB23" s="30">
        <f t="shared" si="24"/>
        <v>170</v>
      </c>
      <c r="CC23" s="88">
        <f t="shared" si="25"/>
        <v>0.44410572178958307</v>
      </c>
    </row>
    <row r="24" spans="2:81" x14ac:dyDescent="0.25">
      <c r="B24" s="6">
        <f t="shared" si="0"/>
        <v>883</v>
      </c>
      <c r="C24" s="5">
        <v>41073</v>
      </c>
      <c r="D24" s="6" t="s">
        <v>338</v>
      </c>
      <c r="E24" s="33">
        <v>240</v>
      </c>
      <c r="F24" s="34">
        <f t="shared" si="1"/>
        <v>4</v>
      </c>
      <c r="G24" s="34">
        <v>4</v>
      </c>
      <c r="H24" s="34">
        <v>74</v>
      </c>
      <c r="J24" s="34">
        <v>101</v>
      </c>
      <c r="K24" s="6">
        <v>11</v>
      </c>
      <c r="L24" s="83">
        <f t="shared" si="28"/>
        <v>0.5</v>
      </c>
      <c r="M24" s="83">
        <f t="shared" si="29"/>
        <v>0.5</v>
      </c>
      <c r="N24" s="6">
        <f t="shared" si="30"/>
        <v>-0.36651292058166435</v>
      </c>
      <c r="O24" s="6">
        <f t="shared" si="31"/>
        <v>4.6151205168412597</v>
      </c>
      <c r="P24" s="6">
        <f t="shared" si="32"/>
        <v>2</v>
      </c>
      <c r="Q24" s="6">
        <f t="shared" si="33"/>
        <v>-0.36651292058166435</v>
      </c>
      <c r="R24" s="6">
        <f t="shared" si="34"/>
        <v>4.6151205168412597</v>
      </c>
      <c r="S24" s="6">
        <f t="shared" si="35"/>
        <v>21.299337384969135</v>
      </c>
      <c r="T24" s="6">
        <f t="shared" si="36"/>
        <v>-1.6915012994638503</v>
      </c>
      <c r="U24" s="6">
        <f t="shared" si="26"/>
        <v>0.39225770037857743</v>
      </c>
      <c r="X24" s="34">
        <f t="shared" si="37"/>
        <v>110</v>
      </c>
      <c r="Y24" s="6">
        <f t="shared" si="27"/>
        <v>0.35181126719536604</v>
      </c>
      <c r="AZ24" s="30">
        <f t="shared" si="13"/>
        <v>180</v>
      </c>
      <c r="BA24" s="88">
        <f t="shared" si="14"/>
        <v>0.51530649665725026</v>
      </c>
      <c r="CB24" s="30">
        <f t="shared" si="24"/>
        <v>180</v>
      </c>
      <c r="CC24" s="88">
        <f t="shared" si="25"/>
        <v>0.43244345797115391</v>
      </c>
    </row>
    <row r="25" spans="2:81" x14ac:dyDescent="0.25">
      <c r="B25" s="6">
        <f t="shared" si="0"/>
        <v>893</v>
      </c>
      <c r="C25" s="5">
        <v>41083</v>
      </c>
      <c r="D25" s="6" t="s">
        <v>338</v>
      </c>
      <c r="E25" s="33">
        <v>60</v>
      </c>
      <c r="F25" s="34">
        <f t="shared" si="1"/>
        <v>10</v>
      </c>
      <c r="G25" s="34">
        <v>10</v>
      </c>
      <c r="H25" s="34">
        <v>101</v>
      </c>
      <c r="J25" s="34">
        <v>110</v>
      </c>
      <c r="K25" s="6">
        <v>12</v>
      </c>
      <c r="L25" s="83">
        <f t="shared" si="28"/>
        <v>0.45294117647058824</v>
      </c>
      <c r="M25" s="83">
        <f t="shared" si="29"/>
        <v>0.54705882352941182</v>
      </c>
      <c r="N25" s="6">
        <f t="shared" si="30"/>
        <v>-0.23320270640284052</v>
      </c>
      <c r="O25" s="6">
        <f t="shared" si="31"/>
        <v>4.7004803657924166</v>
      </c>
      <c r="P25" s="6">
        <f t="shared" si="32"/>
        <v>2.2077922077922079</v>
      </c>
      <c r="Q25" s="6">
        <f t="shared" si="33"/>
        <v>-0.23320270640284052</v>
      </c>
      <c r="R25" s="6">
        <f t="shared" si="34"/>
        <v>4.7004803657924166</v>
      </c>
      <c r="S25" s="6">
        <f t="shared" si="35"/>
        <v>22.09451566920001</v>
      </c>
      <c r="T25" s="6">
        <f t="shared" si="36"/>
        <v>-1.0961647426962053</v>
      </c>
      <c r="U25" s="6">
        <f t="shared" si="26"/>
        <v>0.35181126719536604</v>
      </c>
      <c r="X25" s="34">
        <f t="shared" si="37"/>
        <v>120</v>
      </c>
      <c r="Y25" s="6">
        <f t="shared" si="27"/>
        <v>0.31079433265833206</v>
      </c>
      <c r="AL25" t="s">
        <v>316</v>
      </c>
      <c r="AZ25" s="30">
        <f>AZ24+10</f>
        <v>190</v>
      </c>
      <c r="BA25" s="88">
        <f t="shared" si="14"/>
        <v>0.50461885105609228</v>
      </c>
      <c r="BN25" s="106" t="s">
        <v>315</v>
      </c>
      <c r="CB25" s="30">
        <f>CB24+10</f>
        <v>190</v>
      </c>
      <c r="CC25" s="88">
        <f t="shared" si="25"/>
        <v>0.42135563412843535</v>
      </c>
    </row>
    <row r="26" spans="2:81" x14ac:dyDescent="0.25">
      <c r="B26" s="6">
        <f t="shared" si="0"/>
        <v>1001</v>
      </c>
      <c r="C26" s="5">
        <v>41193</v>
      </c>
      <c r="D26" s="6" t="s">
        <v>338</v>
      </c>
      <c r="E26" s="33">
        <v>120</v>
      </c>
      <c r="F26" s="34">
        <f t="shared" si="1"/>
        <v>110</v>
      </c>
      <c r="G26" s="34">
        <v>110</v>
      </c>
      <c r="H26" s="34">
        <v>110</v>
      </c>
      <c r="J26" s="34">
        <v>111</v>
      </c>
      <c r="K26" s="6">
        <v>13</v>
      </c>
      <c r="L26" s="83">
        <f t="shared" si="28"/>
        <v>0.40588235294117647</v>
      </c>
      <c r="M26" s="83">
        <f t="shared" si="29"/>
        <v>0.59411764705882353</v>
      </c>
      <c r="N26" s="6">
        <f t="shared" si="30"/>
        <v>-0.10348235555744303</v>
      </c>
      <c r="O26" s="6">
        <f t="shared" si="31"/>
        <v>4.7095302013123339</v>
      </c>
      <c r="P26" s="6">
        <f t="shared" si="32"/>
        <v>2.4637681159420288</v>
      </c>
      <c r="Q26" s="6">
        <f t="shared" si="33"/>
        <v>-0.10348235555744303</v>
      </c>
      <c r="R26" s="6">
        <f t="shared" si="34"/>
        <v>4.7095302013123339</v>
      </c>
      <c r="S26" s="6">
        <f t="shared" si="35"/>
        <v>22.179674717072992</v>
      </c>
      <c r="T26" s="6">
        <f t="shared" si="36"/>
        <v>-0.48735327880071921</v>
      </c>
      <c r="U26" s="6">
        <f t="shared" si="26"/>
        <v>0.34752610374693127</v>
      </c>
      <c r="X26" s="34">
        <f t="shared" si="37"/>
        <v>130</v>
      </c>
      <c r="Y26" s="6">
        <f t="shared" si="27"/>
        <v>0.27373101709058273</v>
      </c>
      <c r="AZ26" s="30">
        <f t="shared" si="13"/>
        <v>200</v>
      </c>
      <c r="BA26" s="88">
        <f t="shared" si="14"/>
        <v>0.49438180809499438</v>
      </c>
      <c r="CB26" s="30">
        <f t="shared" ref="CB26:CB34" si="38">CB25+10</f>
        <v>200</v>
      </c>
      <c r="CC26" s="88">
        <f t="shared" si="25"/>
        <v>0.41079402280244653</v>
      </c>
    </row>
    <row r="27" spans="2:81" x14ac:dyDescent="0.25">
      <c r="B27" s="6">
        <f t="shared" si="0"/>
        <v>1023</v>
      </c>
      <c r="C27" s="5">
        <v>41216</v>
      </c>
      <c r="D27" s="6" t="s">
        <v>338</v>
      </c>
      <c r="E27" s="33">
        <v>30</v>
      </c>
      <c r="F27" s="34">
        <f t="shared" si="1"/>
        <v>23</v>
      </c>
      <c r="G27" s="34">
        <v>23</v>
      </c>
      <c r="H27" s="34">
        <v>111</v>
      </c>
      <c r="J27" s="34">
        <v>119</v>
      </c>
      <c r="K27" s="6">
        <v>14</v>
      </c>
      <c r="L27" s="83">
        <f t="shared" si="28"/>
        <v>0.35882352941176471</v>
      </c>
      <c r="M27" s="83">
        <f t="shared" si="29"/>
        <v>0.64117647058823524</v>
      </c>
      <c r="N27" s="6">
        <f t="shared" si="30"/>
        <v>2.4619022445561741E-2</v>
      </c>
      <c r="O27" s="6">
        <f t="shared" si="31"/>
        <v>4.7791234931115296</v>
      </c>
      <c r="P27" s="6">
        <f t="shared" si="32"/>
        <v>2.7868852459016393</v>
      </c>
      <c r="Q27" s="6">
        <f t="shared" si="33"/>
        <v>2.4619022445561741E-2</v>
      </c>
      <c r="R27" s="6">
        <f t="shared" si="34"/>
        <v>4.7791234931115296</v>
      </c>
      <c r="S27" s="6">
        <f t="shared" si="35"/>
        <v>22.84002136241055</v>
      </c>
      <c r="T27" s="6">
        <f t="shared" si="36"/>
        <v>0.11765734854702418</v>
      </c>
      <c r="U27" s="6">
        <f t="shared" si="26"/>
        <v>0.3147147549423665</v>
      </c>
      <c r="X27" s="34">
        <f t="shared" si="37"/>
        <v>140</v>
      </c>
      <c r="Y27" s="6">
        <f>EXP(-((X27/$K$65)^$K$66))</f>
        <v>0.24040044405623176</v>
      </c>
      <c r="AM27" t="s">
        <v>317</v>
      </c>
      <c r="AZ27" s="30">
        <f t="shared" si="13"/>
        <v>210</v>
      </c>
      <c r="BA27" s="88">
        <f t="shared" si="14"/>
        <v>0.48456100761703547</v>
      </c>
      <c r="BN27" t="s">
        <v>316</v>
      </c>
      <c r="CB27" s="30">
        <f t="shared" si="38"/>
        <v>210</v>
      </c>
      <c r="CC27" s="88">
        <f t="shared" si="25"/>
        <v>0.40071636726588067</v>
      </c>
    </row>
    <row r="28" spans="2:81" x14ac:dyDescent="0.25">
      <c r="B28" s="6">
        <f t="shared" si="0"/>
        <v>1216</v>
      </c>
      <c r="C28" s="5">
        <v>41410</v>
      </c>
      <c r="D28" s="6" t="s">
        <v>338</v>
      </c>
      <c r="E28" s="33">
        <v>120</v>
      </c>
      <c r="F28" s="34">
        <f t="shared" si="1"/>
        <v>194</v>
      </c>
      <c r="G28" s="34">
        <v>194</v>
      </c>
      <c r="H28" s="34">
        <v>119</v>
      </c>
      <c r="J28" s="34">
        <v>120</v>
      </c>
      <c r="K28" s="6">
        <v>15</v>
      </c>
      <c r="L28" s="83">
        <f t="shared" si="28"/>
        <v>0.31176470588235294</v>
      </c>
      <c r="M28" s="83">
        <f t="shared" si="29"/>
        <v>0.68823529411764706</v>
      </c>
      <c r="N28" s="6">
        <f t="shared" si="30"/>
        <v>0.15315577664501187</v>
      </c>
      <c r="O28" s="6">
        <f t="shared" si="31"/>
        <v>4.7874917427820458</v>
      </c>
      <c r="P28" s="6">
        <f t="shared" si="32"/>
        <v>3.2075471698113209</v>
      </c>
      <c r="Q28" s="6">
        <f t="shared" si="33"/>
        <v>0.15315577664501187</v>
      </c>
      <c r="R28" s="6">
        <f t="shared" si="34"/>
        <v>4.7874917427820458</v>
      </c>
      <c r="S28" s="6">
        <f t="shared" si="35"/>
        <v>22.920077187206271</v>
      </c>
      <c r="T28" s="6">
        <f t="shared" si="36"/>
        <v>0.73323201604736565</v>
      </c>
      <c r="U28" s="6">
        <f t="shared" si="26"/>
        <v>0.31079433265833206</v>
      </c>
      <c r="X28" s="34">
        <f t="shared" si="37"/>
        <v>150</v>
      </c>
      <c r="Y28" s="6">
        <f t="shared" si="27"/>
        <v>0.21055744511231533</v>
      </c>
      <c r="AL28" t="s">
        <v>318</v>
      </c>
      <c r="AM28" s="107">
        <f>AU12</f>
        <v>112.23101603920392</v>
      </c>
      <c r="AN28" s="107">
        <f>AT12</f>
        <v>20.227615681078948</v>
      </c>
      <c r="AO28" s="108" t="s">
        <v>319</v>
      </c>
      <c r="AP28" s="107">
        <f>AV12</f>
        <v>-4.1746681859165209</v>
      </c>
      <c r="AZ28" s="30">
        <f t="shared" si="13"/>
        <v>220</v>
      </c>
      <c r="BA28" s="88">
        <f t="shared" si="14"/>
        <v>0.47512606162962645</v>
      </c>
      <c r="CB28" s="30">
        <f t="shared" si="38"/>
        <v>220</v>
      </c>
      <c r="CC28" s="88">
        <f t="shared" si="25"/>
        <v>0.39108540683456033</v>
      </c>
    </row>
    <row r="29" spans="2:81" x14ac:dyDescent="0.25">
      <c r="B29" s="6">
        <f t="shared" si="0"/>
        <v>1460</v>
      </c>
      <c r="C29" s="5">
        <v>41659</v>
      </c>
      <c r="D29" s="6" t="s">
        <v>338</v>
      </c>
      <c r="E29" s="33">
        <f>8*60</f>
        <v>480</v>
      </c>
      <c r="F29" s="34">
        <f t="shared" si="1"/>
        <v>249</v>
      </c>
      <c r="G29" s="34">
        <v>249</v>
      </c>
      <c r="H29" s="34">
        <v>120</v>
      </c>
      <c r="J29" s="34">
        <v>132</v>
      </c>
      <c r="K29" s="6">
        <v>16</v>
      </c>
      <c r="L29" s="83">
        <f t="shared" si="28"/>
        <v>0.26470588235294118</v>
      </c>
      <c r="M29" s="83">
        <f t="shared" si="29"/>
        <v>0.73529411764705888</v>
      </c>
      <c r="N29" s="6">
        <f t="shared" si="30"/>
        <v>0.28452906741146539</v>
      </c>
      <c r="O29" s="6">
        <f t="shared" si="31"/>
        <v>4.8828019225863706</v>
      </c>
      <c r="P29" s="6">
        <f t="shared" si="32"/>
        <v>3.7777777777777777</v>
      </c>
      <c r="Q29" s="6">
        <f t="shared" si="33"/>
        <v>0.28452906741146539</v>
      </c>
      <c r="R29" s="6">
        <f t="shared" si="34"/>
        <v>4.8828019225863706</v>
      </c>
      <c r="S29" s="6">
        <f t="shared" si="35"/>
        <v>23.841754615213159</v>
      </c>
      <c r="T29" s="6">
        <f t="shared" si="36"/>
        <v>1.3892990773884102</v>
      </c>
      <c r="U29" s="6">
        <f t="shared" si="26"/>
        <v>0.26677386285386145</v>
      </c>
      <c r="X29" s="34">
        <f t="shared" si="37"/>
        <v>160</v>
      </c>
      <c r="Y29" s="6">
        <f t="shared" si="27"/>
        <v>0.18394433096242907</v>
      </c>
      <c r="AM29" s="107">
        <f>AT12</f>
        <v>20.227615681078948</v>
      </c>
      <c r="AN29" s="107">
        <f>AN12</f>
        <v>4</v>
      </c>
      <c r="AP29" s="107">
        <f>AS12</f>
        <v>-1.9572234297879825</v>
      </c>
      <c r="AQ29" s="16"/>
      <c r="AZ29" s="30">
        <f t="shared" si="13"/>
        <v>230</v>
      </c>
      <c r="BA29" s="88">
        <f t="shared" si="14"/>
        <v>0.46604994155125995</v>
      </c>
      <c r="BO29" t="s">
        <v>317</v>
      </c>
      <c r="CB29" s="30">
        <f t="shared" si="38"/>
        <v>230</v>
      </c>
      <c r="CC29" s="88">
        <f t="shared" si="25"/>
        <v>0.38186809736232158</v>
      </c>
    </row>
    <row r="30" spans="2:81" x14ac:dyDescent="0.25">
      <c r="B30" s="6">
        <f t="shared" si="0"/>
        <v>1579</v>
      </c>
      <c r="C30" s="5">
        <v>41778</v>
      </c>
      <c r="D30" s="6" t="s">
        <v>338</v>
      </c>
      <c r="E30" s="33">
        <v>180</v>
      </c>
      <c r="F30" s="34">
        <f t="shared" si="1"/>
        <v>119</v>
      </c>
      <c r="G30" s="34">
        <v>119</v>
      </c>
      <c r="H30" s="34">
        <v>132</v>
      </c>
      <c r="J30" s="34">
        <v>137</v>
      </c>
      <c r="K30" s="6">
        <v>17</v>
      </c>
      <c r="L30" s="83">
        <f t="shared" si="28"/>
        <v>0.21764705882352942</v>
      </c>
      <c r="M30" s="83">
        <f t="shared" si="29"/>
        <v>0.78235294117647058</v>
      </c>
      <c r="N30" s="6">
        <f t="shared" si="30"/>
        <v>0.4219160623384936</v>
      </c>
      <c r="O30" s="6">
        <f t="shared" si="31"/>
        <v>4.9199809258281251</v>
      </c>
      <c r="P30" s="6">
        <f t="shared" si="32"/>
        <v>4.5945945945945947</v>
      </c>
      <c r="Q30" s="6">
        <f t="shared" si="33"/>
        <v>0.4219160623384936</v>
      </c>
      <c r="R30" s="6">
        <f t="shared" si="34"/>
        <v>4.9199809258281251</v>
      </c>
      <c r="S30" s="6">
        <f t="shared" si="35"/>
        <v>24.206212310512576</v>
      </c>
      <c r="T30" s="6">
        <f t="shared" si="36"/>
        <v>2.0758189790058985</v>
      </c>
      <c r="U30" s="6">
        <f t="shared" si="26"/>
        <v>0.25002193147278889</v>
      </c>
      <c r="X30" s="34">
        <f t="shared" si="37"/>
        <v>170</v>
      </c>
      <c r="Y30" s="6">
        <f t="shared" si="27"/>
        <v>0.16029979587649287</v>
      </c>
      <c r="AQ30" s="16"/>
      <c r="AZ30" s="30">
        <f t="shared" si="13"/>
        <v>240</v>
      </c>
      <c r="BA30" s="88">
        <f t="shared" si="14"/>
        <v>0.45730848212212627</v>
      </c>
      <c r="BN30" t="s">
        <v>318</v>
      </c>
      <c r="BO30" s="107">
        <f>BW14</f>
        <v>145.38111643615557</v>
      </c>
      <c r="BP30" s="107">
        <f>BV14</f>
        <v>27.596170469569095</v>
      </c>
      <c r="BQ30" s="108" t="s">
        <v>319</v>
      </c>
      <c r="BR30" s="107">
        <f>BX14</f>
        <v>-3.6959725771328245</v>
      </c>
      <c r="CB30" s="30">
        <f t="shared" si="38"/>
        <v>240</v>
      </c>
      <c r="CC30" s="88">
        <f t="shared" si="25"/>
        <v>0.3730349811547039</v>
      </c>
    </row>
    <row r="31" spans="2:81" x14ac:dyDescent="0.25">
      <c r="B31" s="6">
        <f t="shared" si="0"/>
        <v>1696</v>
      </c>
      <c r="C31" s="5">
        <v>41898</v>
      </c>
      <c r="D31" s="6" t="s">
        <v>338</v>
      </c>
      <c r="E31" s="33">
        <v>120</v>
      </c>
      <c r="F31" s="34">
        <f t="shared" si="1"/>
        <v>120</v>
      </c>
      <c r="G31" s="34">
        <v>120</v>
      </c>
      <c r="H31" s="34">
        <v>137</v>
      </c>
      <c r="J31" s="34">
        <v>141</v>
      </c>
      <c r="K31" s="6">
        <v>18</v>
      </c>
      <c r="L31" s="83">
        <f t="shared" si="28"/>
        <v>0.17058823529411765</v>
      </c>
      <c r="M31" s="83">
        <f t="shared" si="29"/>
        <v>0.82941176470588229</v>
      </c>
      <c r="N31" s="6">
        <f t="shared" si="30"/>
        <v>0.57013320382899968</v>
      </c>
      <c r="O31" s="6">
        <f t="shared" si="31"/>
        <v>4.9487598903781684</v>
      </c>
      <c r="P31" s="6">
        <f t="shared" si="32"/>
        <v>5.8620689655172411</v>
      </c>
      <c r="Q31" s="6">
        <f t="shared" si="33"/>
        <v>0.57013320382899968</v>
      </c>
      <c r="R31" s="6">
        <f t="shared" si="34"/>
        <v>4.9487598903781684</v>
      </c>
      <c r="S31" s="6">
        <f t="shared" si="35"/>
        <v>24.490224452615742</v>
      </c>
      <c r="T31" s="6">
        <f t="shared" si="36"/>
        <v>2.8214523312817543</v>
      </c>
      <c r="U31" s="6">
        <f t="shared" si="26"/>
        <v>0.23726339046088488</v>
      </c>
      <c r="X31" s="34">
        <f t="shared" si="37"/>
        <v>180</v>
      </c>
      <c r="Y31" s="6">
        <f t="shared" si="27"/>
        <v>0.1393655584227167</v>
      </c>
      <c r="AL31" t="s">
        <v>322</v>
      </c>
      <c r="AQ31" s="16"/>
      <c r="AZ31" s="30">
        <f t="shared" si="13"/>
        <v>250</v>
      </c>
      <c r="BA31" s="88">
        <f t="shared" si="14"/>
        <v>0.4488799758705832</v>
      </c>
      <c r="BO31" s="107">
        <f>BV14</f>
        <v>27.596170469569095</v>
      </c>
      <c r="BP31" s="107">
        <f>BP14</f>
        <v>6</v>
      </c>
      <c r="BR31" s="107">
        <f>BU14</f>
        <v>-3.0683055582143735</v>
      </c>
      <c r="BS31" s="16"/>
      <c r="CB31" s="30">
        <f t="shared" si="38"/>
        <v>250</v>
      </c>
      <c r="CC31" s="88">
        <f t="shared" si="25"/>
        <v>0.36455967271137674</v>
      </c>
    </row>
    <row r="32" spans="2:81" x14ac:dyDescent="0.25">
      <c r="B32" s="6">
        <f t="shared" si="0"/>
        <v>1805</v>
      </c>
      <c r="C32" s="5">
        <v>42009</v>
      </c>
      <c r="D32" s="6" t="s">
        <v>338</v>
      </c>
      <c r="E32" s="30">
        <v>60</v>
      </c>
      <c r="F32" s="34">
        <f t="shared" si="1"/>
        <v>111</v>
      </c>
      <c r="G32" s="34">
        <v>111</v>
      </c>
      <c r="H32" s="34">
        <v>141</v>
      </c>
      <c r="J32" s="34">
        <v>194</v>
      </c>
      <c r="K32" s="6">
        <v>19</v>
      </c>
      <c r="L32" s="83">
        <f t="shared" si="28"/>
        <v>0.12352941176470589</v>
      </c>
      <c r="M32" s="83">
        <f t="shared" si="29"/>
        <v>0.87647058823529411</v>
      </c>
      <c r="N32" s="6">
        <f t="shared" si="30"/>
        <v>0.73777440567524932</v>
      </c>
      <c r="O32" s="6">
        <f t="shared" si="31"/>
        <v>5.2678581590633282</v>
      </c>
      <c r="P32" s="6">
        <f t="shared" si="32"/>
        <v>8.0952380952380949</v>
      </c>
      <c r="Q32" s="6">
        <f t="shared" si="33"/>
        <v>0.73777440567524932</v>
      </c>
      <c r="R32" s="6">
        <f t="shared" si="34"/>
        <v>5.2678581590633282</v>
      </c>
      <c r="S32" s="6">
        <f t="shared" si="35"/>
        <v>27.750329584010078</v>
      </c>
      <c r="T32" s="6">
        <f t="shared" si="36"/>
        <v>3.8864909224844602</v>
      </c>
      <c r="U32" s="6">
        <f t="shared" si="26"/>
        <v>0.11413623354128112</v>
      </c>
      <c r="X32" s="34">
        <f t="shared" si="37"/>
        <v>190</v>
      </c>
      <c r="Y32" s="6">
        <f t="shared" si="27"/>
        <v>0.12089120686280393</v>
      </c>
      <c r="AQ32" s="16"/>
      <c r="AZ32" s="30">
        <f t="shared" si="13"/>
        <v>260</v>
      </c>
      <c r="BA32" s="88">
        <f t="shared" si="14"/>
        <v>0.44074483867526271</v>
      </c>
      <c r="BS32" s="16"/>
      <c r="CB32" s="30">
        <f t="shared" si="38"/>
        <v>260</v>
      </c>
      <c r="CC32" s="88">
        <f t="shared" si="25"/>
        <v>0.35641843528839706</v>
      </c>
    </row>
    <row r="33" spans="2:81" x14ac:dyDescent="0.25">
      <c r="B33" s="6">
        <f t="shared" si="0"/>
        <v>1880</v>
      </c>
      <c r="C33" s="5">
        <v>42083</v>
      </c>
      <c r="D33" s="6" t="s">
        <v>338</v>
      </c>
      <c r="E33" s="30">
        <v>90</v>
      </c>
      <c r="F33" s="34">
        <f t="shared" si="1"/>
        <v>74</v>
      </c>
      <c r="G33" s="34">
        <v>74</v>
      </c>
      <c r="H33" s="34">
        <v>194</v>
      </c>
      <c r="J33" s="34">
        <v>228</v>
      </c>
      <c r="K33" s="6">
        <v>20</v>
      </c>
      <c r="L33" s="83">
        <f t="shared" si="28"/>
        <v>7.6470588235294124E-2</v>
      </c>
      <c r="M33" s="83">
        <f t="shared" si="29"/>
        <v>0.92352941176470593</v>
      </c>
      <c r="N33" s="6">
        <f t="shared" si="30"/>
        <v>0.94423622550621755</v>
      </c>
      <c r="O33" s="6">
        <f t="shared" si="31"/>
        <v>5.4293456289544411</v>
      </c>
      <c r="P33" s="6">
        <f t="shared" si="32"/>
        <v>13.076923076923077</v>
      </c>
      <c r="Q33" s="6">
        <f t="shared" si="33"/>
        <v>0.94423622550621755</v>
      </c>
      <c r="R33" s="6">
        <f t="shared" si="34"/>
        <v>5.4293456289544411</v>
      </c>
      <c r="S33" s="6">
        <f t="shared" si="35"/>
        <v>29.477793958646696</v>
      </c>
      <c r="T33" s="6">
        <f t="shared" si="36"/>
        <v>5.1265848236526219</v>
      </c>
      <c r="U33" s="6">
        <f t="shared" si="26"/>
        <v>6.9080202039305275E-2</v>
      </c>
      <c r="X33" s="34">
        <f t="shared" si="37"/>
        <v>200</v>
      </c>
      <c r="Y33" s="6">
        <f t="shared" si="27"/>
        <v>0.10463762042817988</v>
      </c>
      <c r="AL33" t="s">
        <v>318</v>
      </c>
      <c r="AM33" s="107">
        <f t="array" ref="AM33:AN34">MINVERSE(AM28:AN29)</f>
        <v>0.10058432447750057</v>
      </c>
      <c r="AN33" s="107">
        <v>-0.5086452647679558</v>
      </c>
      <c r="AZ33" s="30">
        <f t="shared" si="13"/>
        <v>270</v>
      </c>
      <c r="BA33" s="88">
        <f t="shared" si="14"/>
        <v>0.43288533172805616</v>
      </c>
      <c r="BN33" t="s">
        <v>322</v>
      </c>
      <c r="BS33" s="16"/>
      <c r="CB33" s="30">
        <f t="shared" si="38"/>
        <v>270</v>
      </c>
      <c r="CC33" s="88">
        <f t="shared" si="25"/>
        <v>0.34858982941661804</v>
      </c>
    </row>
    <row r="34" spans="2:81" x14ac:dyDescent="0.25">
      <c r="B34" s="6">
        <f t="shared" si="0"/>
        <v>2010</v>
      </c>
      <c r="C34" s="5">
        <v>42215</v>
      </c>
      <c r="D34" s="6" t="s">
        <v>338</v>
      </c>
      <c r="E34" s="30">
        <v>120</v>
      </c>
      <c r="F34" s="34">
        <f t="shared" si="1"/>
        <v>132</v>
      </c>
      <c r="G34" s="34">
        <v>132</v>
      </c>
      <c r="H34" s="34">
        <v>228</v>
      </c>
      <c r="J34" s="34">
        <v>249</v>
      </c>
      <c r="K34" s="6">
        <v>21</v>
      </c>
      <c r="L34" s="83">
        <f t="shared" si="28"/>
        <v>2.9411764705882353E-2</v>
      </c>
      <c r="M34" s="83">
        <f t="shared" si="29"/>
        <v>0.97058823529411764</v>
      </c>
      <c r="N34" s="6">
        <f t="shared" si="30"/>
        <v>1.260266326229238</v>
      </c>
      <c r="O34" s="6">
        <f t="shared" si="31"/>
        <v>5.5174528964647074</v>
      </c>
      <c r="P34" s="6">
        <f t="shared" si="32"/>
        <v>34</v>
      </c>
      <c r="Q34" s="6">
        <f t="shared" si="33"/>
        <v>1.260266326229238</v>
      </c>
      <c r="R34" s="6">
        <f t="shared" si="34"/>
        <v>5.5174528964647074</v>
      </c>
      <c r="S34" s="6">
        <f t="shared" si="35"/>
        <v>30.44228646470679</v>
      </c>
      <c r="T34" s="6">
        <f t="shared" si="36"/>
        <v>6.9534600919704443</v>
      </c>
      <c r="U34" s="6">
        <f t="shared" si="26"/>
        <v>5.0094698171654496E-2</v>
      </c>
      <c r="X34" s="34">
        <f t="shared" si="37"/>
        <v>210</v>
      </c>
      <c r="Y34" s="6">
        <f t="shared" si="27"/>
        <v>9.0379264746058577E-2</v>
      </c>
      <c r="AM34" s="107">
        <v>-0.50864526476795591</v>
      </c>
      <c r="AN34" s="107">
        <v>2.8221702334317142</v>
      </c>
      <c r="AZ34" s="30">
        <f t="shared" si="13"/>
        <v>280</v>
      </c>
      <c r="BA34" s="88">
        <f t="shared" si="14"/>
        <v>0.42528532866912039</v>
      </c>
      <c r="BS34" s="16"/>
      <c r="CB34" s="30">
        <f t="shared" si="38"/>
        <v>280</v>
      </c>
      <c r="CC34" s="88">
        <f t="shared" si="25"/>
        <v>0.34105441897754685</v>
      </c>
    </row>
    <row r="35" spans="2:81" x14ac:dyDescent="0.25">
      <c r="B35" s="6">
        <f t="shared" si="0"/>
        <v>2040</v>
      </c>
      <c r="C35" s="5">
        <v>42247</v>
      </c>
      <c r="D35" s="6" t="s">
        <v>338</v>
      </c>
      <c r="E35" s="30">
        <v>45</v>
      </c>
      <c r="F35" s="34">
        <f t="shared" si="1"/>
        <v>32</v>
      </c>
      <c r="G35" s="34">
        <v>32</v>
      </c>
      <c r="H35" s="34">
        <v>249</v>
      </c>
      <c r="X35" s="34">
        <f>X34+10</f>
        <v>220</v>
      </c>
      <c r="Y35" s="6">
        <f t="shared" si="27"/>
        <v>7.7905603082796981E-2</v>
      </c>
      <c r="AZ35" s="30">
        <f>AZ34+10</f>
        <v>290</v>
      </c>
      <c r="BA35" s="88">
        <f t="shared" si="14"/>
        <v>0.41793011921939077</v>
      </c>
      <c r="BN35" t="s">
        <v>318</v>
      </c>
      <c r="BO35" s="107">
        <f t="array" ref="BO35:BP36">MINVERSE(BO30:BP31)</f>
        <v>5.4181906742371395E-2</v>
      </c>
      <c r="BP35" s="107">
        <v>-0.24920218913812936</v>
      </c>
      <c r="CB35" s="30">
        <f>CB34+10</f>
        <v>290</v>
      </c>
      <c r="CC35" s="88">
        <f t="shared" si="25"/>
        <v>0.33379452372542845</v>
      </c>
    </row>
    <row r="36" spans="2:81" x14ac:dyDescent="0.25">
      <c r="B36" s="6">
        <f t="shared" si="0"/>
        <v>405</v>
      </c>
      <c r="C36" s="5">
        <v>40589</v>
      </c>
      <c r="D36" s="6" t="s">
        <v>339</v>
      </c>
      <c r="E36" s="33">
        <v>120</v>
      </c>
      <c r="F36" s="79" t="s">
        <v>279</v>
      </c>
      <c r="G36" s="79" t="s">
        <v>279</v>
      </c>
      <c r="H36" s="79" t="s">
        <v>279</v>
      </c>
      <c r="K36" s="80" t="s">
        <v>285</v>
      </c>
      <c r="L36" s="81">
        <f>COUNT(K14:K34)</f>
        <v>21</v>
      </c>
      <c r="P36" s="80" t="s">
        <v>325</v>
      </c>
      <c r="Q36">
        <f>SUM(Q14:Q34)</f>
        <v>-11.58943734531795</v>
      </c>
      <c r="R36">
        <f>SUM(R14:R34)</f>
        <v>89.005283896702821</v>
      </c>
      <c r="S36">
        <f>SUM(S14:S34)</f>
        <v>393.94677393364981</v>
      </c>
      <c r="T36">
        <f>SUM(T14:T34)</f>
        <v>-27.583268666829877</v>
      </c>
      <c r="X36" s="34">
        <f t="shared" si="37"/>
        <v>230</v>
      </c>
      <c r="Y36" s="6">
        <f t="shared" si="27"/>
        <v>6.7021820045293973E-2</v>
      </c>
      <c r="AL36" t="s">
        <v>323</v>
      </c>
      <c r="AZ36" s="30">
        <f t="shared" ref="AZ36:AZ37" si="39">AZ35+10</f>
        <v>300</v>
      </c>
      <c r="BA36" s="88">
        <f t="shared" si="14"/>
        <v>0.41080624254170683</v>
      </c>
      <c r="BO36" s="107">
        <v>-0.24920218913812939</v>
      </c>
      <c r="BP36" s="107">
        <v>1.3128376821409364</v>
      </c>
      <c r="CB36" s="30">
        <f t="shared" ref="CB36:CB37" si="40">CB35+10</f>
        <v>300</v>
      </c>
      <c r="CC36" s="88">
        <f t="shared" si="25"/>
        <v>0.32679400959452382</v>
      </c>
    </row>
    <row r="37" spans="2:81" x14ac:dyDescent="0.25">
      <c r="B37" s="6">
        <f t="shared" si="0"/>
        <v>891</v>
      </c>
      <c r="C37" s="5">
        <v>41081</v>
      </c>
      <c r="D37" s="6" t="s">
        <v>339</v>
      </c>
      <c r="E37" s="33">
        <v>60</v>
      </c>
      <c r="F37" s="34">
        <f>C37-C36</f>
        <v>492</v>
      </c>
      <c r="G37" s="34">
        <v>492</v>
      </c>
      <c r="H37" s="34">
        <v>14</v>
      </c>
      <c r="X37" s="34">
        <f t="shared" si="37"/>
        <v>240</v>
      </c>
      <c r="Y37" s="6">
        <f t="shared" si="27"/>
        <v>5.7549017905794954E-2</v>
      </c>
      <c r="AZ37" s="30">
        <f t="shared" si="39"/>
        <v>310</v>
      </c>
      <c r="BA37" s="88">
        <f t="shared" si="14"/>
        <v>0.40390134499935448</v>
      </c>
      <c r="CB37" s="30">
        <f t="shared" si="40"/>
        <v>310</v>
      </c>
      <c r="CC37" s="88">
        <f t="shared" si="25"/>
        <v>0.32003810997737347</v>
      </c>
    </row>
    <row r="38" spans="2:81" x14ac:dyDescent="0.25">
      <c r="B38" s="6">
        <f t="shared" si="0"/>
        <v>999</v>
      </c>
      <c r="C38" s="5">
        <v>41191</v>
      </c>
      <c r="D38" s="6" t="s">
        <v>339</v>
      </c>
      <c r="E38" s="33">
        <v>120</v>
      </c>
      <c r="F38" s="34">
        <f>C38-C37</f>
        <v>110</v>
      </c>
      <c r="G38" s="34">
        <v>110</v>
      </c>
      <c r="H38" s="34">
        <v>110</v>
      </c>
      <c r="J38" t="s">
        <v>294</v>
      </c>
      <c r="X38" s="34">
        <f t="shared" si="37"/>
        <v>250</v>
      </c>
      <c r="Y38" s="6">
        <f t="shared" si="27"/>
        <v>4.9324015796829893E-2</v>
      </c>
      <c r="AL38" t="s">
        <v>318</v>
      </c>
      <c r="AM38" s="107">
        <f t="array" ref="AM38:AM39">MMULT(AM33:AN34,AP28:AP29)</f>
        <v>0.57562625025642888</v>
      </c>
      <c r="AZ38" s="84"/>
      <c r="BA38" s="11"/>
      <c r="BN38" t="s">
        <v>323</v>
      </c>
      <c r="CB38" s="84"/>
      <c r="CC38" s="11"/>
    </row>
    <row r="39" spans="2:81" x14ac:dyDescent="0.25">
      <c r="B39" s="6">
        <f t="shared" si="0"/>
        <v>1013</v>
      </c>
      <c r="C39" s="5">
        <v>41205</v>
      </c>
      <c r="D39" s="6" t="s">
        <v>339</v>
      </c>
      <c r="E39" s="33">
        <v>120</v>
      </c>
      <c r="F39" s="34">
        <f>C39-C38</f>
        <v>14</v>
      </c>
      <c r="G39" s="34">
        <v>14</v>
      </c>
      <c r="H39" s="34">
        <v>492</v>
      </c>
      <c r="X39" s="34">
        <f t="shared" si="37"/>
        <v>260</v>
      </c>
      <c r="Y39" s="6">
        <f t="shared" si="27"/>
        <v>4.2198857288809753E-2</v>
      </c>
      <c r="AM39" s="107">
        <v>-3.4001924989788996</v>
      </c>
      <c r="AZ39" s="16" t="s">
        <v>324</v>
      </c>
      <c r="BA39" s="11"/>
      <c r="CB39" s="16" t="s">
        <v>324</v>
      </c>
      <c r="CC39" s="11"/>
    </row>
    <row r="40" spans="2:81" x14ac:dyDescent="0.25">
      <c r="B40" s="6">
        <f t="shared" si="0"/>
        <v>1805</v>
      </c>
      <c r="C40" s="5">
        <v>42009</v>
      </c>
      <c r="D40" s="6" t="s">
        <v>339</v>
      </c>
      <c r="E40" s="30">
        <v>60</v>
      </c>
      <c r="F40" s="34">
        <f>C40-C39</f>
        <v>804</v>
      </c>
      <c r="G40" s="34">
        <v>804</v>
      </c>
      <c r="H40" s="34">
        <v>804</v>
      </c>
      <c r="J40" t="s">
        <v>288</v>
      </c>
      <c r="X40" s="34">
        <f t="shared" si="37"/>
        <v>270</v>
      </c>
      <c r="Y40" s="6">
        <f t="shared" si="27"/>
        <v>3.6040111327846298E-2</v>
      </c>
      <c r="AZ40" s="84"/>
      <c r="BA40" s="11"/>
      <c r="BN40" t="s">
        <v>318</v>
      </c>
      <c r="BO40" s="107">
        <f t="array" ref="BO40:BO41">MMULT(BO35:BP36,BR30:BR31)</f>
        <v>0.56437362055513907</v>
      </c>
      <c r="CB40" s="84"/>
      <c r="CC40" s="11"/>
    </row>
    <row r="41" spans="2:81" x14ac:dyDescent="0.25">
      <c r="B41" s="6">
        <f t="shared" si="0"/>
        <v>98</v>
      </c>
      <c r="C41" s="5">
        <v>40276</v>
      </c>
      <c r="D41" s="6" t="s">
        <v>340</v>
      </c>
      <c r="E41" s="34">
        <v>300</v>
      </c>
      <c r="F41" s="79" t="s">
        <v>279</v>
      </c>
      <c r="G41" s="79" t="s">
        <v>279</v>
      </c>
      <c r="H41" s="79" t="s">
        <v>279</v>
      </c>
      <c r="X41" s="34">
        <f>X40+10</f>
        <v>280</v>
      </c>
      <c r="Y41" s="6">
        <f t="shared" si="27"/>
        <v>3.0728034438831583E-2</v>
      </c>
      <c r="AL41" s="2" t="s">
        <v>320</v>
      </c>
      <c r="AM41" s="109">
        <f>EXP(-AM39/AM38)</f>
        <v>367.58141189173028</v>
      </c>
      <c r="AZ41" s="84"/>
      <c r="BA41" s="11"/>
      <c r="BO41" s="107">
        <v>-3.1071426999303164</v>
      </c>
      <c r="CB41" s="84"/>
      <c r="CC41" s="11"/>
    </row>
    <row r="42" spans="2:81" x14ac:dyDescent="0.25">
      <c r="B42" s="6">
        <f t="shared" si="0"/>
        <v>210</v>
      </c>
      <c r="C42" s="5">
        <v>40389</v>
      </c>
      <c r="D42" s="6" t="s">
        <v>340</v>
      </c>
      <c r="E42" s="34">
        <v>120</v>
      </c>
      <c r="F42" s="34">
        <f t="shared" ref="F42:F47" si="41">C42-C41</f>
        <v>113</v>
      </c>
      <c r="G42" s="34">
        <v>113</v>
      </c>
      <c r="H42" s="34">
        <v>4</v>
      </c>
      <c r="J42" t="s">
        <v>289</v>
      </c>
      <c r="X42" s="34">
        <f t="shared" si="37"/>
        <v>290</v>
      </c>
      <c r="Y42" s="6">
        <f t="shared" si="27"/>
        <v>2.6155647916720263E-2</v>
      </c>
      <c r="AL42" s="2" t="s">
        <v>321</v>
      </c>
      <c r="AM42" s="109">
        <f>AM38</f>
        <v>0.57562625025642888</v>
      </c>
      <c r="AZ42" s="84"/>
      <c r="BA42" s="11"/>
      <c r="CB42" s="84"/>
      <c r="CC42" s="11"/>
    </row>
    <row r="43" spans="2:81" x14ac:dyDescent="0.25">
      <c r="B43" s="6">
        <f t="shared" si="0"/>
        <v>788</v>
      </c>
      <c r="C43" s="5">
        <v>40976</v>
      </c>
      <c r="D43" s="6" t="s">
        <v>340</v>
      </c>
      <c r="E43" s="33">
        <v>240</v>
      </c>
      <c r="F43" s="34">
        <f t="shared" si="41"/>
        <v>587</v>
      </c>
      <c r="G43" s="34">
        <v>587</v>
      </c>
      <c r="H43" s="34">
        <v>28</v>
      </c>
      <c r="X43" s="34">
        <f t="shared" si="37"/>
        <v>300</v>
      </c>
      <c r="Y43" s="6">
        <f t="shared" si="27"/>
        <v>2.2227771978947319E-2</v>
      </c>
      <c r="AZ43" s="84"/>
      <c r="BA43" s="11"/>
      <c r="BN43" s="2" t="s">
        <v>320</v>
      </c>
      <c r="BO43" s="109">
        <f>EXP(-BO41/BO40)</f>
        <v>246.03435362378832</v>
      </c>
      <c r="CB43" s="84"/>
      <c r="CC43" s="11"/>
    </row>
    <row r="44" spans="2:81" x14ac:dyDescent="0.25">
      <c r="B44" s="6">
        <f t="shared" si="0"/>
        <v>792</v>
      </c>
      <c r="C44" s="5">
        <v>40980</v>
      </c>
      <c r="D44" s="6" t="s">
        <v>340</v>
      </c>
      <c r="E44" s="33">
        <v>30</v>
      </c>
      <c r="F44" s="34">
        <f t="shared" si="41"/>
        <v>4</v>
      </c>
      <c r="G44" s="34">
        <v>4</v>
      </c>
      <c r="H44" s="34">
        <v>113</v>
      </c>
      <c r="J44" t="s">
        <v>290</v>
      </c>
      <c r="X44" s="34">
        <f t="shared" si="37"/>
        <v>310</v>
      </c>
      <c r="Y44" s="6">
        <f t="shared" si="27"/>
        <v>1.8860049157221115E-2</v>
      </c>
      <c r="AZ44" s="84"/>
      <c r="BA44" s="11"/>
      <c r="BN44" s="2" t="s">
        <v>321</v>
      </c>
      <c r="BO44" s="109">
        <f>BO40</f>
        <v>0.56437362055513907</v>
      </c>
      <c r="CB44" s="84"/>
      <c r="CC44" s="11"/>
    </row>
    <row r="45" spans="2:81" x14ac:dyDescent="0.25">
      <c r="B45" s="6">
        <f t="shared" si="0"/>
        <v>819</v>
      </c>
      <c r="C45" s="5">
        <v>41008</v>
      </c>
      <c r="D45" s="6" t="s">
        <v>340</v>
      </c>
      <c r="E45" s="33">
        <v>60</v>
      </c>
      <c r="F45" s="34">
        <f t="shared" si="41"/>
        <v>28</v>
      </c>
      <c r="G45" s="34">
        <v>28</v>
      </c>
      <c r="H45" s="34">
        <v>314</v>
      </c>
      <c r="J45" t="s">
        <v>291</v>
      </c>
    </row>
    <row r="46" spans="2:81" x14ac:dyDescent="0.25">
      <c r="B46" s="6">
        <f t="shared" si="0"/>
        <v>1228</v>
      </c>
      <c r="C46" s="5">
        <v>41422</v>
      </c>
      <c r="D46" s="6" t="s">
        <v>340</v>
      </c>
      <c r="E46" s="33">
        <v>180</v>
      </c>
      <c r="F46" s="34">
        <f t="shared" si="41"/>
        <v>414</v>
      </c>
      <c r="G46" s="34">
        <v>414</v>
      </c>
      <c r="H46" s="34">
        <v>414</v>
      </c>
      <c r="X46" s="16" t="s">
        <v>324</v>
      </c>
    </row>
    <row r="47" spans="2:81" x14ac:dyDescent="0.25">
      <c r="B47" s="6">
        <f t="shared" si="0"/>
        <v>1537</v>
      </c>
      <c r="C47" s="5">
        <v>41736</v>
      </c>
      <c r="D47" s="6" t="s">
        <v>340</v>
      </c>
      <c r="E47" s="33">
        <f>12*60</f>
        <v>720</v>
      </c>
      <c r="F47" s="34">
        <f t="shared" si="41"/>
        <v>314</v>
      </c>
      <c r="G47" s="34">
        <v>314</v>
      </c>
      <c r="H47" s="34">
        <v>587</v>
      </c>
      <c r="J47" s="106" t="s">
        <v>315</v>
      </c>
      <c r="X47" s="16"/>
      <c r="AZ47" s="16"/>
      <c r="CB47" s="16"/>
    </row>
    <row r="48" spans="2:81" x14ac:dyDescent="0.25">
      <c r="B48" s="6">
        <f t="shared" si="0"/>
        <v>1532</v>
      </c>
      <c r="C48" s="5">
        <v>41731</v>
      </c>
      <c r="D48" s="6" t="s">
        <v>341</v>
      </c>
      <c r="E48" s="33">
        <f>7*24*60</f>
        <v>10080</v>
      </c>
      <c r="F48" s="79" t="s">
        <v>279</v>
      </c>
      <c r="G48" s="79" t="s">
        <v>279</v>
      </c>
      <c r="H48" s="79" t="s">
        <v>279</v>
      </c>
      <c r="X48" s="16"/>
      <c r="AZ48" s="16"/>
      <c r="CB48" s="16"/>
    </row>
    <row r="49" spans="2:80" x14ac:dyDescent="0.25">
      <c r="B49" s="6">
        <f t="shared" si="0"/>
        <v>1994</v>
      </c>
      <c r="C49" s="5">
        <v>42199</v>
      </c>
      <c r="D49" s="6" t="s">
        <v>341</v>
      </c>
      <c r="E49" s="30">
        <v>480</v>
      </c>
      <c r="F49" s="34">
        <f>C49-C48</f>
        <v>468</v>
      </c>
      <c r="G49" s="34">
        <v>468</v>
      </c>
      <c r="H49" s="34">
        <v>468</v>
      </c>
      <c r="J49" t="s">
        <v>316</v>
      </c>
      <c r="X49" s="16"/>
      <c r="AZ49" s="16"/>
      <c r="CB49" s="16"/>
    </row>
    <row r="50" spans="2:80" x14ac:dyDescent="0.25">
      <c r="X50" s="16"/>
      <c r="AZ50" s="16"/>
      <c r="CB50" s="16"/>
    </row>
    <row r="51" spans="2:80" x14ac:dyDescent="0.25">
      <c r="K51" t="s">
        <v>317</v>
      </c>
      <c r="X51" s="16"/>
      <c r="AZ51" s="16"/>
      <c r="CB51" s="16"/>
    </row>
    <row r="52" spans="2:80" x14ac:dyDescent="0.25">
      <c r="J52" t="s">
        <v>318</v>
      </c>
      <c r="K52" s="107">
        <f>S36</f>
        <v>393.94677393364981</v>
      </c>
      <c r="L52" s="107">
        <f>R36</f>
        <v>89.005283896702821</v>
      </c>
      <c r="M52" s="108" t="s">
        <v>319</v>
      </c>
      <c r="N52" s="107">
        <f>T36</f>
        <v>-27.583268666829877</v>
      </c>
      <c r="X52" s="16"/>
      <c r="AZ52" s="16"/>
      <c r="CB52" s="16"/>
    </row>
    <row r="53" spans="2:80" x14ac:dyDescent="0.25">
      <c r="K53" s="107">
        <f>R36</f>
        <v>89.005283896702821</v>
      </c>
      <c r="L53" s="107">
        <f>L36</f>
        <v>21</v>
      </c>
      <c r="N53" s="107">
        <f>Q36</f>
        <v>-11.58943734531795</v>
      </c>
      <c r="O53" s="16"/>
      <c r="X53" s="17"/>
      <c r="AZ53" s="17"/>
      <c r="CB53" s="17"/>
    </row>
    <row r="54" spans="2:80" x14ac:dyDescent="0.25">
      <c r="O54" s="16"/>
      <c r="X54" s="16"/>
      <c r="AZ54" s="16"/>
      <c r="CB54" s="16"/>
    </row>
    <row r="55" spans="2:80" x14ac:dyDescent="0.25">
      <c r="J55" t="s">
        <v>322</v>
      </c>
      <c r="O55" s="16"/>
      <c r="X55" s="16"/>
      <c r="AZ55" s="16"/>
      <c r="CB55" s="16"/>
    </row>
    <row r="56" spans="2:80" x14ac:dyDescent="0.25">
      <c r="O56" s="16"/>
      <c r="X56" s="16"/>
      <c r="AZ56" s="16"/>
      <c r="CB56" s="16"/>
    </row>
    <row r="57" spans="2:80" x14ac:dyDescent="0.25">
      <c r="J57" t="s">
        <v>318</v>
      </c>
      <c r="K57" s="107">
        <f t="array" ref="K57:L58">MINVERSE(K52:L53)</f>
        <v>5.9839000421221457E-2</v>
      </c>
      <c r="L57" s="107">
        <v>-0.25361843907551124</v>
      </c>
      <c r="X57" s="16"/>
      <c r="AZ57" s="16"/>
      <c r="CB57" s="16"/>
    </row>
    <row r="58" spans="2:80" x14ac:dyDescent="0.25">
      <c r="K58" s="107">
        <v>-0.25361843907551124</v>
      </c>
      <c r="L58" s="107">
        <v>1.1225419605406908</v>
      </c>
      <c r="X58" s="16"/>
      <c r="AZ58" s="16"/>
      <c r="CB58" s="16"/>
    </row>
    <row r="59" spans="2:80" x14ac:dyDescent="0.25">
      <c r="X59" s="16"/>
      <c r="AZ59" s="16"/>
      <c r="CB59" s="16"/>
    </row>
    <row r="60" spans="2:80" x14ac:dyDescent="0.25">
      <c r="J60" t="s">
        <v>323</v>
      </c>
      <c r="X60" s="16"/>
      <c r="AZ60" s="16"/>
      <c r="CB60" s="16"/>
    </row>
    <row r="61" spans="2:80" x14ac:dyDescent="0.25">
      <c r="X61" s="16"/>
      <c r="AZ61" s="16"/>
      <c r="CB61" s="16"/>
    </row>
    <row r="62" spans="2:80" x14ac:dyDescent="0.25">
      <c r="J62" t="s">
        <v>318</v>
      </c>
      <c r="K62" s="107">
        <f t="array" ref="K62:K63">MMULT(K57:L58,N52:N53)</f>
        <v>1.2887397839098778</v>
      </c>
      <c r="X62" s="16"/>
      <c r="AZ62" s="16"/>
      <c r="CB62" s="16"/>
    </row>
    <row r="63" spans="2:80" x14ac:dyDescent="0.25">
      <c r="K63" s="107">
        <v>-6.0140041752948603</v>
      </c>
      <c r="X63" s="16"/>
      <c r="AZ63" s="16"/>
      <c r="CB63" s="16"/>
    </row>
    <row r="64" spans="2:80" x14ac:dyDescent="0.25">
      <c r="X64" s="16"/>
      <c r="AZ64" s="16"/>
      <c r="CB64" s="16"/>
    </row>
    <row r="65" spans="10:80" x14ac:dyDescent="0.25">
      <c r="J65" s="2" t="s">
        <v>320</v>
      </c>
      <c r="K65" s="109">
        <f>EXP(-K63/K62)</f>
        <v>106.33320154848028</v>
      </c>
      <c r="X65" s="16"/>
      <c r="AZ65" s="16"/>
      <c r="CB65" s="16"/>
    </row>
    <row r="66" spans="10:80" x14ac:dyDescent="0.25">
      <c r="J66" s="2" t="s">
        <v>321</v>
      </c>
      <c r="K66" s="109">
        <f>K62</f>
        <v>1.2887397839098778</v>
      </c>
      <c r="X66" s="16"/>
      <c r="AZ66" s="16"/>
      <c r="CB66" s="16"/>
    </row>
    <row r="67" spans="10:80" x14ac:dyDescent="0.25">
      <c r="X67" s="16"/>
      <c r="AZ67" s="16"/>
      <c r="CB67" s="16"/>
    </row>
    <row r="68" spans="10:80" x14ac:dyDescent="0.25">
      <c r="X68" s="16"/>
      <c r="AZ68" s="16"/>
      <c r="CB68" s="16"/>
    </row>
    <row r="69" spans="10:80" x14ac:dyDescent="0.25">
      <c r="X69" s="16"/>
      <c r="AZ69" s="16"/>
      <c r="CB69" s="16"/>
    </row>
    <row r="70" spans="10:80" x14ac:dyDescent="0.25">
      <c r="X70" s="16"/>
      <c r="AZ70" s="16"/>
      <c r="CB70" s="16"/>
    </row>
    <row r="71" spans="10:80" x14ac:dyDescent="0.25">
      <c r="X71" s="16"/>
      <c r="AZ71" s="16"/>
      <c r="CB71" s="16"/>
    </row>
    <row r="72" spans="10:80" x14ac:dyDescent="0.25">
      <c r="X72" s="16"/>
      <c r="AZ72" s="16"/>
      <c r="CB72" s="16"/>
    </row>
    <row r="73" spans="10:80" x14ac:dyDescent="0.25">
      <c r="X73" s="16"/>
      <c r="AZ73" s="16"/>
      <c r="CB73" s="16"/>
    </row>
    <row r="74" spans="10:80" x14ac:dyDescent="0.25">
      <c r="X74" s="16"/>
      <c r="AZ74" s="16"/>
      <c r="CB74" s="16"/>
    </row>
    <row r="75" spans="10:80" x14ac:dyDescent="0.25">
      <c r="X75" s="16"/>
      <c r="AZ75" s="16"/>
      <c r="CB75" s="16"/>
    </row>
    <row r="76" spans="10:80" x14ac:dyDescent="0.25">
      <c r="X76" s="16"/>
      <c r="AZ76" s="16"/>
      <c r="CB76" s="16"/>
    </row>
    <row r="77" spans="10:80" x14ac:dyDescent="0.25">
      <c r="X77" s="16"/>
      <c r="AZ77" s="16"/>
      <c r="CB77" s="16"/>
    </row>
    <row r="78" spans="10:80" x14ac:dyDescent="0.25">
      <c r="X78" s="16"/>
      <c r="AZ78" s="16"/>
      <c r="CB78" s="16"/>
    </row>
    <row r="79" spans="10:80" x14ac:dyDescent="0.25">
      <c r="X79" s="16"/>
      <c r="AZ79" s="16"/>
      <c r="CB79" s="16"/>
    </row>
    <row r="80" spans="10:80" x14ac:dyDescent="0.25">
      <c r="X80" s="17"/>
      <c r="AZ80" s="17"/>
      <c r="CB80" s="17"/>
    </row>
    <row r="81" spans="24:80" x14ac:dyDescent="0.25">
      <c r="X81" s="17"/>
      <c r="AZ81" s="17"/>
      <c r="CB81" s="17"/>
    </row>
    <row r="82" spans="24:80" x14ac:dyDescent="0.25">
      <c r="X82" s="16"/>
      <c r="AZ82" s="16"/>
      <c r="CB82" s="16"/>
    </row>
    <row r="83" spans="24:80" x14ac:dyDescent="0.25">
      <c r="X83" s="16"/>
      <c r="AZ83" s="16"/>
      <c r="CB83" s="16"/>
    </row>
    <row r="84" spans="24:80" x14ac:dyDescent="0.25">
      <c r="X84" s="16"/>
      <c r="AZ84" s="16"/>
      <c r="CB84" s="16"/>
    </row>
    <row r="85" spans="24:80" x14ac:dyDescent="0.25">
      <c r="X85" s="16"/>
      <c r="AZ85" s="16"/>
      <c r="CB85" s="16"/>
    </row>
  </sheetData>
  <sheetProtection sheet="1" objects="1" scenarios="1"/>
  <mergeCells count="7">
    <mergeCell ref="BN3:BY3"/>
    <mergeCell ref="BN4:BY4"/>
    <mergeCell ref="J3:U3"/>
    <mergeCell ref="B2:H3"/>
    <mergeCell ref="J4:U4"/>
    <mergeCell ref="AL3:AW3"/>
    <mergeCell ref="AL4:AW4"/>
  </mergeCells>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2:BB57"/>
  <sheetViews>
    <sheetView zoomScale="80" zoomScaleNormal="80" workbookViewId="0">
      <selection activeCell="G26" sqref="G26"/>
    </sheetView>
  </sheetViews>
  <sheetFormatPr defaultRowHeight="15" x14ac:dyDescent="0.25"/>
  <cols>
    <col min="1" max="1" width="3" customWidth="1"/>
    <col min="2" max="2" width="10.42578125" bestFit="1" customWidth="1"/>
    <col min="3" max="3" width="11.28515625" bestFit="1" customWidth="1"/>
    <col min="4" max="4" width="22.85546875" bestFit="1" customWidth="1"/>
    <col min="5" max="5" width="13.7109375" bestFit="1" customWidth="1"/>
    <col min="6" max="6" width="12.28515625" bestFit="1" customWidth="1"/>
    <col min="7" max="7" width="21.42578125" bestFit="1" customWidth="1"/>
    <col min="8" max="9" width="18.140625" bestFit="1" customWidth="1"/>
    <col min="16" max="16" width="9.28515625" bestFit="1" customWidth="1"/>
    <col min="37" max="37" width="8.7109375" bestFit="1" customWidth="1"/>
    <col min="38" max="38" width="11.28515625" bestFit="1" customWidth="1"/>
    <col min="39" max="39" width="22.85546875" bestFit="1" customWidth="1"/>
    <col min="40" max="40" width="13.7109375" bestFit="1" customWidth="1"/>
    <col min="41" max="41" width="7.28515625" bestFit="1" customWidth="1"/>
    <col min="42" max="42" width="19.85546875" bestFit="1" customWidth="1"/>
    <col min="43" max="43" width="19.28515625" bestFit="1" customWidth="1"/>
    <col min="44" max="44" width="18.140625" bestFit="1" customWidth="1"/>
    <col min="54" max="54" width="9.28515625" bestFit="1" customWidth="1"/>
  </cols>
  <sheetData>
    <row r="2" spans="2:54" ht="15" customHeight="1" x14ac:dyDescent="0.25">
      <c r="B2" s="123" t="s">
        <v>336</v>
      </c>
      <c r="C2" s="123"/>
      <c r="D2" s="123"/>
      <c r="E2" s="123"/>
      <c r="F2" s="123"/>
      <c r="G2" s="123"/>
      <c r="H2" s="123"/>
      <c r="I2" s="123"/>
      <c r="K2" s="132" t="s">
        <v>304</v>
      </c>
      <c r="L2" s="133"/>
      <c r="M2" s="133"/>
      <c r="N2" s="133"/>
      <c r="O2" s="133"/>
      <c r="P2" s="133"/>
      <c r="Q2" s="133"/>
      <c r="R2" s="133"/>
      <c r="S2" s="133"/>
      <c r="T2" s="133"/>
      <c r="U2" s="133"/>
      <c r="V2" s="134"/>
      <c r="AK2" s="123" t="s">
        <v>336</v>
      </c>
      <c r="AL2" s="123"/>
      <c r="AM2" s="123"/>
      <c r="AN2" s="123"/>
      <c r="AO2" s="123"/>
      <c r="AP2" s="123"/>
      <c r="AQ2" s="123"/>
      <c r="AR2" s="123"/>
      <c r="AT2" s="130" t="s">
        <v>305</v>
      </c>
      <c r="AU2" s="130"/>
      <c r="AV2" s="130"/>
      <c r="AW2" s="130"/>
      <c r="AX2" s="130"/>
      <c r="AY2" s="130"/>
      <c r="AZ2" s="130"/>
      <c r="BA2" s="130"/>
      <c r="BB2" s="130"/>
    </row>
    <row r="3" spans="2:54" ht="15" customHeight="1" x14ac:dyDescent="0.25">
      <c r="B3" s="123"/>
      <c r="C3" s="123"/>
      <c r="D3" s="123"/>
      <c r="E3" s="123"/>
      <c r="F3" s="123"/>
      <c r="G3" s="123"/>
      <c r="H3" s="123"/>
      <c r="I3" s="123"/>
      <c r="K3" s="130" t="s">
        <v>292</v>
      </c>
      <c r="L3" s="130"/>
      <c r="M3" s="130"/>
      <c r="N3" s="130" t="s">
        <v>292</v>
      </c>
      <c r="O3" s="130"/>
      <c r="P3" s="130"/>
      <c r="Q3" s="130" t="s">
        <v>292</v>
      </c>
      <c r="R3" s="130"/>
      <c r="S3" s="130"/>
      <c r="T3" s="130" t="s">
        <v>292</v>
      </c>
      <c r="U3" s="130"/>
      <c r="V3" s="130"/>
      <c r="AK3" s="123"/>
      <c r="AL3" s="123"/>
      <c r="AM3" s="123"/>
      <c r="AN3" s="123"/>
      <c r="AO3" s="123"/>
      <c r="AP3" s="123"/>
      <c r="AQ3" s="123"/>
      <c r="AR3" s="123"/>
      <c r="AT3" s="130" t="s">
        <v>292</v>
      </c>
      <c r="AU3" s="130"/>
      <c r="AV3" s="130"/>
      <c r="AW3" s="130" t="s">
        <v>292</v>
      </c>
      <c r="AX3" s="130"/>
      <c r="AY3" s="130"/>
      <c r="AZ3" s="130" t="s">
        <v>292</v>
      </c>
      <c r="BA3" s="130"/>
      <c r="BB3" s="130"/>
    </row>
    <row r="4" spans="2:54" x14ac:dyDescent="0.25">
      <c r="B4" s="7" t="s">
        <v>165</v>
      </c>
      <c r="C4" s="7" t="s">
        <v>5</v>
      </c>
      <c r="D4" s="7" t="s">
        <v>197</v>
      </c>
      <c r="E4" s="7" t="s">
        <v>301</v>
      </c>
      <c r="F4" s="7" t="s">
        <v>185</v>
      </c>
      <c r="G4" s="7" t="s">
        <v>278</v>
      </c>
      <c r="H4" s="7" t="s">
        <v>282</v>
      </c>
      <c r="I4" s="7" t="s">
        <v>280</v>
      </c>
      <c r="K4" s="131" t="s">
        <v>353</v>
      </c>
      <c r="L4" s="131"/>
      <c r="M4" s="131"/>
      <c r="N4" s="131" t="s">
        <v>359</v>
      </c>
      <c r="O4" s="131"/>
      <c r="P4" s="131"/>
      <c r="Q4" s="131" t="s">
        <v>6</v>
      </c>
      <c r="R4" s="131"/>
      <c r="S4" s="131"/>
      <c r="T4" s="131" t="s">
        <v>369</v>
      </c>
      <c r="U4" s="131"/>
      <c r="V4" s="131"/>
      <c r="AK4" s="7" t="s">
        <v>165</v>
      </c>
      <c r="AL4" s="7" t="s">
        <v>5</v>
      </c>
      <c r="AM4" s="7" t="s">
        <v>197</v>
      </c>
      <c r="AN4" s="7" t="s">
        <v>301</v>
      </c>
      <c r="AO4" s="7" t="s">
        <v>185</v>
      </c>
      <c r="AP4" s="7" t="s">
        <v>278</v>
      </c>
      <c r="AQ4" s="7" t="s">
        <v>282</v>
      </c>
      <c r="AR4" s="7" t="s">
        <v>280</v>
      </c>
      <c r="AT4" s="131" t="s">
        <v>355</v>
      </c>
      <c r="AU4" s="131"/>
      <c r="AV4" s="131"/>
      <c r="AW4" s="131" t="s">
        <v>356</v>
      </c>
      <c r="AX4" s="131"/>
      <c r="AY4" s="131"/>
      <c r="AZ4" s="131" t="s">
        <v>357</v>
      </c>
      <c r="BA4" s="131"/>
      <c r="BB4" s="131"/>
    </row>
    <row r="5" spans="2:54" x14ac:dyDescent="0.25">
      <c r="B5" s="8"/>
      <c r="C5" s="9"/>
      <c r="D5" s="9"/>
      <c r="E5" s="9" t="s">
        <v>303</v>
      </c>
      <c r="F5" s="9" t="s">
        <v>187</v>
      </c>
      <c r="G5" s="9" t="s">
        <v>199</v>
      </c>
      <c r="H5" s="9" t="s">
        <v>281</v>
      </c>
      <c r="I5" s="9" t="s">
        <v>283</v>
      </c>
      <c r="K5" s="96" t="s">
        <v>286</v>
      </c>
      <c r="L5" s="96" t="s">
        <v>284</v>
      </c>
      <c r="M5" s="96" t="s">
        <v>287</v>
      </c>
      <c r="N5" s="96" t="s">
        <v>286</v>
      </c>
      <c r="O5" s="96" t="s">
        <v>284</v>
      </c>
      <c r="P5" s="96" t="s">
        <v>287</v>
      </c>
      <c r="Q5" s="96" t="s">
        <v>286</v>
      </c>
      <c r="R5" s="96" t="s">
        <v>284</v>
      </c>
      <c r="S5" s="96" t="s">
        <v>287</v>
      </c>
      <c r="T5" s="96" t="s">
        <v>286</v>
      </c>
      <c r="U5" s="96" t="s">
        <v>284</v>
      </c>
      <c r="V5" s="96" t="s">
        <v>287</v>
      </c>
      <c r="AK5" s="8"/>
      <c r="AL5" s="9"/>
      <c r="AM5" s="9"/>
      <c r="AN5" s="9" t="s">
        <v>303</v>
      </c>
      <c r="AO5" s="9" t="s">
        <v>187</v>
      </c>
      <c r="AP5" s="9" t="s">
        <v>199</v>
      </c>
      <c r="AQ5" s="9" t="s">
        <v>281</v>
      </c>
      <c r="AR5" s="9" t="s">
        <v>283</v>
      </c>
      <c r="AT5" s="97" t="s">
        <v>286</v>
      </c>
      <c r="AU5" s="97" t="s">
        <v>284</v>
      </c>
      <c r="AV5" s="97" t="s">
        <v>287</v>
      </c>
      <c r="AW5" s="97" t="s">
        <v>286</v>
      </c>
      <c r="AX5" s="97" t="s">
        <v>284</v>
      </c>
      <c r="AY5" s="97" t="s">
        <v>287</v>
      </c>
      <c r="AZ5" s="97" t="s">
        <v>286</v>
      </c>
      <c r="BA5" s="97" t="s">
        <v>284</v>
      </c>
      <c r="BB5" s="97" t="s">
        <v>287</v>
      </c>
    </row>
    <row r="6" spans="2:54" x14ac:dyDescent="0.25">
      <c r="B6" s="6">
        <f>DAYS360("31-12-2009",C6)</f>
        <v>21</v>
      </c>
      <c r="C6" s="5">
        <v>40199</v>
      </c>
      <c r="D6" s="6" t="s">
        <v>338</v>
      </c>
      <c r="E6" s="6" t="s">
        <v>297</v>
      </c>
      <c r="F6" s="34">
        <v>240</v>
      </c>
      <c r="G6" s="79" t="s">
        <v>279</v>
      </c>
      <c r="H6" s="79" t="s">
        <v>279</v>
      </c>
      <c r="I6" s="79" t="s">
        <v>279</v>
      </c>
      <c r="K6" s="83" t="s">
        <v>293</v>
      </c>
      <c r="L6" s="83" t="s">
        <v>293</v>
      </c>
      <c r="M6" s="83" t="s">
        <v>293</v>
      </c>
      <c r="N6" s="83" t="s">
        <v>293</v>
      </c>
      <c r="O6" s="83" t="s">
        <v>293</v>
      </c>
      <c r="P6" s="83" t="s">
        <v>293</v>
      </c>
      <c r="Q6" s="83" t="s">
        <v>293</v>
      </c>
      <c r="R6" s="83" t="s">
        <v>293</v>
      </c>
      <c r="S6" s="83" t="s">
        <v>293</v>
      </c>
      <c r="T6" s="83" t="s">
        <v>293</v>
      </c>
      <c r="U6" s="83" t="s">
        <v>293</v>
      </c>
      <c r="V6" s="83" t="s">
        <v>293</v>
      </c>
      <c r="AK6" s="6">
        <f t="shared" ref="AK6:AK49" si="0">DAYS360("31-12-2009",AL6)</f>
        <v>1532</v>
      </c>
      <c r="AL6" s="5">
        <v>41731</v>
      </c>
      <c r="AM6" s="6" t="s">
        <v>341</v>
      </c>
      <c r="AN6" s="6" t="s">
        <v>297</v>
      </c>
      <c r="AO6" s="33">
        <f>7*24*60</f>
        <v>10080</v>
      </c>
      <c r="AP6" s="79" t="s">
        <v>279</v>
      </c>
      <c r="AQ6" s="79" t="s">
        <v>279</v>
      </c>
      <c r="AR6" s="79"/>
      <c r="AT6" s="83" t="s">
        <v>293</v>
      </c>
      <c r="AU6" s="83" t="s">
        <v>293</v>
      </c>
      <c r="AV6" s="83" t="s">
        <v>293</v>
      </c>
      <c r="AW6" s="83" t="s">
        <v>293</v>
      </c>
      <c r="AX6" s="83" t="s">
        <v>293</v>
      </c>
      <c r="AY6" s="83" t="s">
        <v>293</v>
      </c>
      <c r="AZ6" s="83" t="s">
        <v>293</v>
      </c>
      <c r="BA6" s="83" t="s">
        <v>293</v>
      </c>
      <c r="BB6" s="83" t="s">
        <v>293</v>
      </c>
    </row>
    <row r="7" spans="2:54" x14ac:dyDescent="0.25">
      <c r="B7" s="6">
        <f t="shared" ref="B7:B49" si="1">DAYS360("31-12-2009",C7)</f>
        <v>122</v>
      </c>
      <c r="C7" s="5">
        <v>40300</v>
      </c>
      <c r="D7" s="6" t="s">
        <v>338</v>
      </c>
      <c r="E7" s="6" t="s">
        <v>296</v>
      </c>
      <c r="F7" s="34">
        <v>120</v>
      </c>
      <c r="G7" s="34">
        <f t="shared" ref="G7:G35" si="2">C7-C6</f>
        <v>101</v>
      </c>
      <c r="H7" s="34">
        <v>101</v>
      </c>
      <c r="I7" s="34">
        <v>0</v>
      </c>
      <c r="K7" s="34">
        <v>1</v>
      </c>
      <c r="L7" s="6">
        <v>1</v>
      </c>
      <c r="M7" s="83">
        <f t="shared" ref="M7:M34" si="3">($M$36-L7+0.625)/($M$36+0.25)</f>
        <v>0.97787610619469023</v>
      </c>
      <c r="N7" s="34">
        <v>14</v>
      </c>
      <c r="O7" s="6">
        <v>1</v>
      </c>
      <c r="P7" s="83">
        <f>($P$12-O7+0.625)/($P$12+0.25)</f>
        <v>0.8529411764705882</v>
      </c>
      <c r="Q7" s="34">
        <v>4</v>
      </c>
      <c r="R7" s="6">
        <v>1</v>
      </c>
      <c r="S7" s="83">
        <f>($S$14-R7+0.625)/($S$14+0.25)</f>
        <v>0.9</v>
      </c>
      <c r="T7" s="34">
        <v>468</v>
      </c>
      <c r="U7" s="6">
        <v>1</v>
      </c>
      <c r="V7" s="83">
        <f>($M$36-U7+0.625)/($M$36+0.25)</f>
        <v>0.97787610619469023</v>
      </c>
      <c r="AK7" s="6">
        <f t="shared" si="0"/>
        <v>1994</v>
      </c>
      <c r="AL7" s="5">
        <v>42199</v>
      </c>
      <c r="AM7" s="6" t="s">
        <v>341</v>
      </c>
      <c r="AN7" s="6" t="s">
        <v>297</v>
      </c>
      <c r="AO7" s="30">
        <v>480</v>
      </c>
      <c r="AP7" s="100">
        <f>AL7-AL6</f>
        <v>468</v>
      </c>
      <c r="AQ7" s="34">
        <v>468</v>
      </c>
      <c r="AR7" s="34">
        <v>468</v>
      </c>
      <c r="AT7" s="34">
        <v>1</v>
      </c>
      <c r="AU7" s="6">
        <v>1</v>
      </c>
      <c r="AV7" s="83">
        <f t="shared" ref="AV7:AV22" si="4">($AV$24-AU7+0.625)/($AV$24+0.25)</f>
        <v>0.96153846153846156</v>
      </c>
      <c r="AW7" s="34">
        <v>7</v>
      </c>
      <c r="AX7" s="6">
        <v>1</v>
      </c>
      <c r="AY7" s="83">
        <f>($AY$19-AX7+0.625)/($AY$19+0.25)</f>
        <v>0.94444444444444442</v>
      </c>
      <c r="AZ7" s="34">
        <v>1</v>
      </c>
      <c r="BA7" s="6">
        <v>1</v>
      </c>
      <c r="BB7" s="83">
        <f>($BB$35-AZ7+0.625)/($BB$35+0.25)</f>
        <v>0.97706422018348627</v>
      </c>
    </row>
    <row r="8" spans="2:54" x14ac:dyDescent="0.25">
      <c r="B8" s="6">
        <f t="shared" si="1"/>
        <v>260</v>
      </c>
      <c r="C8" s="5">
        <v>40441</v>
      </c>
      <c r="D8" s="6" t="s">
        <v>338</v>
      </c>
      <c r="E8" s="6" t="s">
        <v>297</v>
      </c>
      <c r="F8" s="34">
        <v>180</v>
      </c>
      <c r="G8" s="34">
        <f t="shared" si="2"/>
        <v>141</v>
      </c>
      <c r="H8" s="34">
        <v>141</v>
      </c>
      <c r="I8" s="34">
        <v>1</v>
      </c>
      <c r="K8" s="34">
        <v>2</v>
      </c>
      <c r="L8" s="6">
        <v>2</v>
      </c>
      <c r="M8" s="83">
        <f t="shared" si="3"/>
        <v>0.94247787610619471</v>
      </c>
      <c r="N8" s="34">
        <v>110</v>
      </c>
      <c r="O8" s="6">
        <v>2</v>
      </c>
      <c r="P8" s="85">
        <f>($P$12-O8+0.625)/($P$12+0.25)</f>
        <v>0.61764705882352944</v>
      </c>
      <c r="Q8" s="34">
        <v>28</v>
      </c>
      <c r="R8" s="6">
        <v>2</v>
      </c>
      <c r="S8" s="88">
        <f t="shared" ref="S8:S12" si="5">($S$14-R8+0.625)/($S$14+0.25)</f>
        <v>0.74</v>
      </c>
      <c r="T8" s="84"/>
      <c r="U8" s="11"/>
      <c r="V8" s="87"/>
      <c r="AK8" s="6">
        <f t="shared" si="0"/>
        <v>122</v>
      </c>
      <c r="AL8" s="5">
        <v>40300</v>
      </c>
      <c r="AM8" s="6" t="s">
        <v>338</v>
      </c>
      <c r="AN8" s="6" t="s">
        <v>296</v>
      </c>
      <c r="AO8" s="34">
        <v>120</v>
      </c>
      <c r="AP8" s="79" t="s">
        <v>279</v>
      </c>
      <c r="AQ8" s="79" t="s">
        <v>279</v>
      </c>
      <c r="AR8" s="79" t="s">
        <v>279</v>
      </c>
      <c r="AT8" s="34">
        <v>2</v>
      </c>
      <c r="AU8" s="6">
        <v>2</v>
      </c>
      <c r="AV8" s="83">
        <f t="shared" si="4"/>
        <v>0.9</v>
      </c>
      <c r="AW8" s="34">
        <v>36</v>
      </c>
      <c r="AX8" s="6">
        <v>2</v>
      </c>
      <c r="AY8" s="83">
        <f t="shared" ref="AY8:AY17" si="6">($AY$19-AX8+0.625)/($AY$19+0.25)</f>
        <v>0.85555555555555551</v>
      </c>
      <c r="AZ8" s="34">
        <v>2</v>
      </c>
      <c r="BA8" s="6">
        <v>2</v>
      </c>
      <c r="BB8" s="83">
        <f>($BB$35-BA8+0.625)/($BB$35+0.25)</f>
        <v>0.94036697247706424</v>
      </c>
    </row>
    <row r="9" spans="2:54" x14ac:dyDescent="0.25">
      <c r="B9" s="6">
        <f t="shared" si="1"/>
        <v>267</v>
      </c>
      <c r="C9" s="5">
        <v>40448</v>
      </c>
      <c r="D9" s="6" t="s">
        <v>338</v>
      </c>
      <c r="E9" s="6" t="s">
        <v>297</v>
      </c>
      <c r="F9" s="34">
        <v>120</v>
      </c>
      <c r="G9" s="34">
        <f t="shared" si="2"/>
        <v>7</v>
      </c>
      <c r="H9" s="34">
        <v>7</v>
      </c>
      <c r="I9" s="34">
        <v>2</v>
      </c>
      <c r="K9" s="34">
        <v>2</v>
      </c>
      <c r="L9" s="6">
        <v>3</v>
      </c>
      <c r="M9" s="83">
        <f t="shared" si="3"/>
        <v>0.90707964601769908</v>
      </c>
      <c r="N9" s="34">
        <v>492</v>
      </c>
      <c r="O9" s="6">
        <v>3</v>
      </c>
      <c r="P9" s="85">
        <f>($P$12-O9+0.625)/($P$12+0.25)</f>
        <v>0.38235294117647056</v>
      </c>
      <c r="Q9" s="34">
        <v>113</v>
      </c>
      <c r="R9" s="6">
        <v>3</v>
      </c>
      <c r="S9" s="88">
        <f t="shared" si="5"/>
        <v>0.57999999999999996</v>
      </c>
      <c r="T9" s="84"/>
      <c r="U9" s="80" t="s">
        <v>285</v>
      </c>
      <c r="V9" s="81">
        <f>COUNT(U7)</f>
        <v>1</v>
      </c>
      <c r="AK9" s="6">
        <f t="shared" si="0"/>
        <v>401</v>
      </c>
      <c r="AL9" s="5">
        <v>40585</v>
      </c>
      <c r="AM9" s="6" t="s">
        <v>338</v>
      </c>
      <c r="AN9" s="6" t="s">
        <v>296</v>
      </c>
      <c r="AO9" s="33">
        <v>360</v>
      </c>
      <c r="AP9" s="34">
        <f>AK9-AK8</f>
        <v>279</v>
      </c>
      <c r="AQ9" s="34">
        <v>279</v>
      </c>
      <c r="AR9" s="34">
        <v>1</v>
      </c>
      <c r="AT9" s="34">
        <v>4</v>
      </c>
      <c r="AU9" s="6">
        <v>3</v>
      </c>
      <c r="AV9" s="83">
        <f t="shared" si="4"/>
        <v>0.83846153846153848</v>
      </c>
      <c r="AW9" s="34">
        <v>93</v>
      </c>
      <c r="AX9" s="6">
        <v>3</v>
      </c>
      <c r="AY9" s="83">
        <f t="shared" si="6"/>
        <v>0.76666666666666672</v>
      </c>
      <c r="AZ9" s="34">
        <v>4</v>
      </c>
      <c r="BA9" s="6">
        <v>3</v>
      </c>
      <c r="BB9" s="83">
        <f>($BB$35-BA9+0.625)/($BB$35+0.25)</f>
        <v>0.90366972477064222</v>
      </c>
    </row>
    <row r="10" spans="2:54" x14ac:dyDescent="0.25">
      <c r="B10" s="6">
        <f t="shared" si="1"/>
        <v>401</v>
      </c>
      <c r="C10" s="5">
        <v>40585</v>
      </c>
      <c r="D10" s="6" t="s">
        <v>338</v>
      </c>
      <c r="E10" s="6" t="s">
        <v>296</v>
      </c>
      <c r="F10" s="33">
        <v>360</v>
      </c>
      <c r="G10" s="34">
        <f t="shared" si="2"/>
        <v>137</v>
      </c>
      <c r="H10" s="34">
        <v>137</v>
      </c>
      <c r="I10" s="34">
        <v>2</v>
      </c>
      <c r="K10" s="34">
        <v>4</v>
      </c>
      <c r="L10" s="6">
        <v>4</v>
      </c>
      <c r="M10" s="83">
        <f t="shared" si="3"/>
        <v>0.87168141592920356</v>
      </c>
      <c r="N10" s="34">
        <v>804</v>
      </c>
      <c r="O10" s="6">
        <v>4</v>
      </c>
      <c r="P10" s="85">
        <f>($P$12-O10+0.625)/($P$12+0.25)</f>
        <v>0.14705882352941177</v>
      </c>
      <c r="Q10" s="34">
        <v>314</v>
      </c>
      <c r="R10" s="6">
        <v>4</v>
      </c>
      <c r="S10" s="88">
        <f t="shared" si="5"/>
        <v>0.42</v>
      </c>
      <c r="T10" s="84"/>
      <c r="U10" s="11"/>
      <c r="V10" s="87"/>
      <c r="AK10" s="6">
        <f t="shared" si="0"/>
        <v>402</v>
      </c>
      <c r="AL10" s="5">
        <v>40586</v>
      </c>
      <c r="AM10" s="6" t="s">
        <v>338</v>
      </c>
      <c r="AN10" s="6" t="s">
        <v>296</v>
      </c>
      <c r="AO10" s="33">
        <v>180</v>
      </c>
      <c r="AP10" s="34">
        <f t="shared" ref="AP10:AP24" si="7">AK10-AK9</f>
        <v>1</v>
      </c>
      <c r="AQ10" s="34">
        <v>1</v>
      </c>
      <c r="AR10" s="34">
        <v>2</v>
      </c>
      <c r="AT10" s="34">
        <v>10</v>
      </c>
      <c r="AU10" s="6">
        <v>4</v>
      </c>
      <c r="AV10" s="83">
        <f t="shared" si="4"/>
        <v>0.77692307692307694</v>
      </c>
      <c r="AW10" s="34">
        <v>119</v>
      </c>
      <c r="AX10" s="6">
        <v>4</v>
      </c>
      <c r="AY10" s="83">
        <f t="shared" si="6"/>
        <v>0.67777777777777781</v>
      </c>
      <c r="AZ10" s="34">
        <v>7</v>
      </c>
      <c r="BA10" s="6">
        <v>4</v>
      </c>
      <c r="BB10" s="83">
        <f>($BB$35-BA10+0.625)/($BB$35+0.25)</f>
        <v>0.8669724770642202</v>
      </c>
    </row>
    <row r="11" spans="2:54" x14ac:dyDescent="0.25">
      <c r="B11" s="6">
        <f t="shared" si="1"/>
        <v>402</v>
      </c>
      <c r="C11" s="5">
        <v>40586</v>
      </c>
      <c r="D11" s="6" t="s">
        <v>338</v>
      </c>
      <c r="E11" s="6" t="s">
        <v>296</v>
      </c>
      <c r="F11" s="33">
        <v>180</v>
      </c>
      <c r="G11" s="34">
        <f t="shared" si="2"/>
        <v>1</v>
      </c>
      <c r="H11" s="34">
        <v>1</v>
      </c>
      <c r="I11" s="34">
        <v>4</v>
      </c>
      <c r="K11" s="34">
        <v>7</v>
      </c>
      <c r="L11" s="6">
        <v>5</v>
      </c>
      <c r="M11" s="83">
        <f t="shared" si="3"/>
        <v>0.83628318584070793</v>
      </c>
      <c r="N11" s="84"/>
      <c r="Q11" s="34">
        <v>414</v>
      </c>
      <c r="R11" s="6">
        <v>5</v>
      </c>
      <c r="S11" s="88">
        <f t="shared" si="5"/>
        <v>0.26</v>
      </c>
      <c r="T11" s="84"/>
      <c r="U11" s="11"/>
      <c r="V11" s="87"/>
      <c r="AK11" s="6">
        <f t="shared" si="0"/>
        <v>461</v>
      </c>
      <c r="AL11" s="5">
        <v>40644</v>
      </c>
      <c r="AM11" s="6" t="s">
        <v>338</v>
      </c>
      <c r="AN11" s="6" t="s">
        <v>296</v>
      </c>
      <c r="AO11" s="33">
        <v>360</v>
      </c>
      <c r="AP11" s="34">
        <f t="shared" si="7"/>
        <v>59</v>
      </c>
      <c r="AQ11" s="34">
        <v>59</v>
      </c>
      <c r="AR11" s="34">
        <v>4</v>
      </c>
      <c r="AT11" s="34">
        <v>15</v>
      </c>
      <c r="AU11" s="6">
        <v>5</v>
      </c>
      <c r="AV11" s="83">
        <f t="shared" si="4"/>
        <v>0.7153846153846154</v>
      </c>
      <c r="AW11" s="34">
        <v>137</v>
      </c>
      <c r="AX11" s="6">
        <v>5</v>
      </c>
      <c r="AY11" s="83">
        <f t="shared" si="6"/>
        <v>0.58888888888888891</v>
      </c>
      <c r="AZ11" s="34">
        <v>10</v>
      </c>
      <c r="BA11" s="6">
        <v>5</v>
      </c>
      <c r="BB11" s="83">
        <f>($BB$35-BA11+0.625)/($BB$35+0.25)</f>
        <v>0.83027522935779818</v>
      </c>
    </row>
    <row r="12" spans="2:54" x14ac:dyDescent="0.25">
      <c r="B12" s="6">
        <f t="shared" si="1"/>
        <v>404</v>
      </c>
      <c r="C12" s="5">
        <v>40588</v>
      </c>
      <c r="D12" s="6" t="s">
        <v>338</v>
      </c>
      <c r="E12" s="6" t="s">
        <v>297</v>
      </c>
      <c r="F12" s="33">
        <v>120</v>
      </c>
      <c r="G12" s="34">
        <f t="shared" si="2"/>
        <v>2</v>
      </c>
      <c r="H12" s="34">
        <v>2</v>
      </c>
      <c r="I12" s="34">
        <v>7</v>
      </c>
      <c r="K12" s="34">
        <v>7</v>
      </c>
      <c r="L12" s="6">
        <v>6</v>
      </c>
      <c r="M12" s="83">
        <f t="shared" si="3"/>
        <v>0.80088495575221241</v>
      </c>
      <c r="N12" s="84"/>
      <c r="O12" s="80" t="s">
        <v>285</v>
      </c>
      <c r="P12" s="81">
        <f>COUNT(O7:O10)</f>
        <v>4</v>
      </c>
      <c r="Q12" s="34">
        <v>587</v>
      </c>
      <c r="R12" s="6">
        <v>6</v>
      </c>
      <c r="S12" s="88">
        <f t="shared" si="5"/>
        <v>0.1</v>
      </c>
      <c r="T12" s="84"/>
      <c r="U12" s="11"/>
      <c r="V12" s="87"/>
      <c r="AK12" s="6">
        <f t="shared" si="0"/>
        <v>497</v>
      </c>
      <c r="AL12" s="5">
        <v>40680</v>
      </c>
      <c r="AM12" s="6" t="s">
        <v>338</v>
      </c>
      <c r="AN12" s="6" t="s">
        <v>296</v>
      </c>
      <c r="AO12" s="33">
        <v>150</v>
      </c>
      <c r="AP12" s="34">
        <f t="shared" si="7"/>
        <v>36</v>
      </c>
      <c r="AQ12" s="34">
        <v>36</v>
      </c>
      <c r="AR12" s="34">
        <v>10</v>
      </c>
      <c r="AT12" s="34">
        <v>36</v>
      </c>
      <c r="AU12" s="6">
        <v>6</v>
      </c>
      <c r="AV12" s="83">
        <f t="shared" si="4"/>
        <v>0.65384615384615385</v>
      </c>
      <c r="AW12" s="34">
        <v>164</v>
      </c>
      <c r="AX12" s="6">
        <v>6</v>
      </c>
      <c r="AY12" s="83">
        <f t="shared" si="6"/>
        <v>0.5</v>
      </c>
      <c r="AZ12" s="34">
        <v>15</v>
      </c>
      <c r="BA12" s="6">
        <v>6</v>
      </c>
      <c r="BB12" s="83">
        <f t="shared" ref="BB12:BB33" si="8">($BB$35-BA12+0.625)/($BB$35+0.25)</f>
        <v>0.79357798165137616</v>
      </c>
    </row>
    <row r="13" spans="2:54" x14ac:dyDescent="0.25">
      <c r="B13" s="6">
        <f t="shared" si="1"/>
        <v>461</v>
      </c>
      <c r="C13" s="5">
        <v>40644</v>
      </c>
      <c r="D13" s="6" t="s">
        <v>338</v>
      </c>
      <c r="E13" s="6" t="s">
        <v>296</v>
      </c>
      <c r="F13" s="33">
        <v>360</v>
      </c>
      <c r="G13" s="34">
        <f t="shared" si="2"/>
        <v>56</v>
      </c>
      <c r="H13" s="34">
        <v>56</v>
      </c>
      <c r="I13" s="34">
        <v>7</v>
      </c>
      <c r="K13" s="34">
        <v>9</v>
      </c>
      <c r="L13" s="6">
        <v>7</v>
      </c>
      <c r="M13" s="83">
        <f t="shared" si="3"/>
        <v>0.76548672566371678</v>
      </c>
      <c r="AK13" s="6">
        <f t="shared" si="0"/>
        <v>576</v>
      </c>
      <c r="AL13" s="5">
        <v>40761</v>
      </c>
      <c r="AM13" s="6" t="s">
        <v>338</v>
      </c>
      <c r="AN13" s="6" t="s">
        <v>296</v>
      </c>
      <c r="AO13" s="33">
        <v>120</v>
      </c>
      <c r="AP13" s="34">
        <f t="shared" si="7"/>
        <v>79</v>
      </c>
      <c r="AQ13" s="34">
        <v>79</v>
      </c>
      <c r="AR13" s="34">
        <v>15</v>
      </c>
      <c r="AT13" s="34">
        <v>36</v>
      </c>
      <c r="AU13" s="6">
        <v>7</v>
      </c>
      <c r="AV13" s="83">
        <f t="shared" si="4"/>
        <v>0.59230769230769231</v>
      </c>
      <c r="AW13" s="34">
        <v>215</v>
      </c>
      <c r="AX13" s="6">
        <v>7</v>
      </c>
      <c r="AY13" s="83">
        <f t="shared" si="6"/>
        <v>0.41111111111111109</v>
      </c>
      <c r="AZ13" s="34">
        <v>36</v>
      </c>
      <c r="BA13" s="6">
        <v>7</v>
      </c>
      <c r="BB13" s="83">
        <f t="shared" si="8"/>
        <v>0.75688073394495414</v>
      </c>
    </row>
    <row r="14" spans="2:54" x14ac:dyDescent="0.25">
      <c r="B14" s="6">
        <f t="shared" si="1"/>
        <v>497</v>
      </c>
      <c r="C14" s="5">
        <v>40680</v>
      </c>
      <c r="D14" s="6" t="s">
        <v>338</v>
      </c>
      <c r="E14" s="6" t="s">
        <v>297</v>
      </c>
      <c r="F14" s="33">
        <v>150</v>
      </c>
      <c r="G14" s="34">
        <f t="shared" si="2"/>
        <v>36</v>
      </c>
      <c r="H14" s="34">
        <v>36</v>
      </c>
      <c r="I14" s="34">
        <v>9</v>
      </c>
      <c r="K14" s="34">
        <v>10</v>
      </c>
      <c r="L14" s="6">
        <v>8</v>
      </c>
      <c r="M14" s="83">
        <f t="shared" si="3"/>
        <v>0.73008849557522126</v>
      </c>
      <c r="R14" s="80" t="s">
        <v>285</v>
      </c>
      <c r="S14" s="81">
        <f>COUNT(R7:R12)</f>
        <v>6</v>
      </c>
      <c r="AK14" s="6">
        <f t="shared" si="0"/>
        <v>826</v>
      </c>
      <c r="AL14" s="5">
        <v>41015</v>
      </c>
      <c r="AM14" s="6" t="s">
        <v>338</v>
      </c>
      <c r="AN14" s="6" t="s">
        <v>296</v>
      </c>
      <c r="AO14" s="33">
        <v>300</v>
      </c>
      <c r="AP14" s="34">
        <f t="shared" si="7"/>
        <v>250</v>
      </c>
      <c r="AQ14" s="34">
        <v>250</v>
      </c>
      <c r="AR14" s="34">
        <v>36</v>
      </c>
      <c r="AT14" s="34">
        <v>59</v>
      </c>
      <c r="AU14" s="6">
        <v>8</v>
      </c>
      <c r="AV14" s="83">
        <f t="shared" si="4"/>
        <v>0.53076923076923077</v>
      </c>
      <c r="AW14" s="34">
        <v>239</v>
      </c>
      <c r="AX14" s="6">
        <v>8</v>
      </c>
      <c r="AY14" s="83">
        <f t="shared" si="6"/>
        <v>0.32222222222222224</v>
      </c>
      <c r="AZ14" s="34">
        <v>36</v>
      </c>
      <c r="BA14" s="6">
        <v>8</v>
      </c>
      <c r="BB14" s="83">
        <f t="shared" si="8"/>
        <v>0.72018348623853212</v>
      </c>
    </row>
    <row r="15" spans="2:54" x14ac:dyDescent="0.25">
      <c r="B15" s="6">
        <f t="shared" si="1"/>
        <v>497</v>
      </c>
      <c r="C15" s="5">
        <v>40680</v>
      </c>
      <c r="D15" s="6" t="s">
        <v>338</v>
      </c>
      <c r="E15" s="6" t="s">
        <v>296</v>
      </c>
      <c r="F15" s="33">
        <v>150</v>
      </c>
      <c r="G15" s="34">
        <f t="shared" si="2"/>
        <v>0</v>
      </c>
      <c r="H15" s="34">
        <v>0</v>
      </c>
      <c r="I15" s="34">
        <v>10</v>
      </c>
      <c r="K15" s="34">
        <v>16</v>
      </c>
      <c r="L15" s="6">
        <v>9</v>
      </c>
      <c r="M15" s="83">
        <f t="shared" si="3"/>
        <v>0.69469026548672563</v>
      </c>
      <c r="AK15" s="6">
        <f t="shared" si="0"/>
        <v>828</v>
      </c>
      <c r="AL15" s="5">
        <v>41017</v>
      </c>
      <c r="AM15" s="6" t="s">
        <v>338</v>
      </c>
      <c r="AN15" s="6" t="s">
        <v>296</v>
      </c>
      <c r="AO15" s="33">
        <v>120</v>
      </c>
      <c r="AP15" s="34">
        <f t="shared" si="7"/>
        <v>2</v>
      </c>
      <c r="AQ15" s="34">
        <v>2</v>
      </c>
      <c r="AR15" s="34">
        <v>36</v>
      </c>
      <c r="AT15" s="34">
        <v>75</v>
      </c>
      <c r="AU15" s="6">
        <v>9</v>
      </c>
      <c r="AV15" s="83">
        <f t="shared" si="4"/>
        <v>0.46923076923076923</v>
      </c>
      <c r="AW15" s="34">
        <v>244</v>
      </c>
      <c r="AX15" s="6">
        <v>9</v>
      </c>
      <c r="AY15" s="83">
        <f t="shared" si="6"/>
        <v>0.23333333333333334</v>
      </c>
      <c r="AZ15" s="34">
        <v>36</v>
      </c>
      <c r="BA15" s="6">
        <v>9</v>
      </c>
      <c r="BB15" s="83">
        <f t="shared" si="8"/>
        <v>0.6834862385321101</v>
      </c>
    </row>
    <row r="16" spans="2:54" x14ac:dyDescent="0.25">
      <c r="B16" s="6">
        <f t="shared" si="1"/>
        <v>504</v>
      </c>
      <c r="C16" s="5">
        <v>40687</v>
      </c>
      <c r="D16" s="6" t="s">
        <v>338</v>
      </c>
      <c r="E16" s="6" t="s">
        <v>298</v>
      </c>
      <c r="F16" s="33">
        <v>180</v>
      </c>
      <c r="G16" s="34">
        <f t="shared" si="2"/>
        <v>7</v>
      </c>
      <c r="H16" s="34">
        <v>7</v>
      </c>
      <c r="I16" s="34">
        <v>16</v>
      </c>
      <c r="K16" s="34">
        <v>23</v>
      </c>
      <c r="L16" s="6">
        <v>10</v>
      </c>
      <c r="M16" s="83">
        <f t="shared" si="3"/>
        <v>0.65929203539823011</v>
      </c>
      <c r="AK16" s="6">
        <f t="shared" si="0"/>
        <v>864</v>
      </c>
      <c r="AL16" s="5">
        <v>41053</v>
      </c>
      <c r="AM16" s="6" t="s">
        <v>338</v>
      </c>
      <c r="AN16" s="6" t="s">
        <v>296</v>
      </c>
      <c r="AO16" s="33">
        <v>60</v>
      </c>
      <c r="AP16" s="34">
        <f t="shared" si="7"/>
        <v>36</v>
      </c>
      <c r="AQ16" s="34">
        <v>36</v>
      </c>
      <c r="AR16" s="34">
        <v>59</v>
      </c>
      <c r="AT16" s="34">
        <v>79</v>
      </c>
      <c r="AU16" s="6">
        <v>10</v>
      </c>
      <c r="AV16" s="83">
        <f t="shared" si="4"/>
        <v>0.40769230769230769</v>
      </c>
      <c r="AW16" s="34">
        <v>304</v>
      </c>
      <c r="AX16" s="6">
        <v>10</v>
      </c>
      <c r="AY16" s="83">
        <f t="shared" si="6"/>
        <v>0.14444444444444443</v>
      </c>
      <c r="AZ16" s="34">
        <v>59</v>
      </c>
      <c r="BA16" s="6">
        <v>10</v>
      </c>
      <c r="BB16" s="83">
        <f t="shared" si="8"/>
        <v>0.64678899082568808</v>
      </c>
    </row>
    <row r="17" spans="2:54" x14ac:dyDescent="0.25">
      <c r="B17" s="6">
        <f t="shared" si="1"/>
        <v>576</v>
      </c>
      <c r="C17" s="5">
        <v>40761</v>
      </c>
      <c r="D17" s="6" t="s">
        <v>338</v>
      </c>
      <c r="E17" s="6" t="s">
        <v>296</v>
      </c>
      <c r="F17" s="33">
        <v>120</v>
      </c>
      <c r="G17" s="34">
        <f t="shared" si="2"/>
        <v>74</v>
      </c>
      <c r="H17" s="34">
        <v>74</v>
      </c>
      <c r="I17" s="34">
        <v>23</v>
      </c>
      <c r="K17" s="34">
        <v>26</v>
      </c>
      <c r="L17" s="6">
        <v>11</v>
      </c>
      <c r="M17" s="83">
        <f t="shared" si="3"/>
        <v>0.62389380530973448</v>
      </c>
      <c r="AK17" s="6">
        <f t="shared" si="0"/>
        <v>879</v>
      </c>
      <c r="AL17" s="5">
        <v>41069</v>
      </c>
      <c r="AM17" s="6" t="s">
        <v>338</v>
      </c>
      <c r="AN17" s="6" t="s">
        <v>296</v>
      </c>
      <c r="AO17" s="33">
        <v>60</v>
      </c>
      <c r="AP17" s="34">
        <f t="shared" si="7"/>
        <v>15</v>
      </c>
      <c r="AQ17" s="34">
        <v>15</v>
      </c>
      <c r="AR17" s="34">
        <v>75</v>
      </c>
      <c r="AT17" s="34">
        <v>109</v>
      </c>
      <c r="AU17" s="6">
        <v>11</v>
      </c>
      <c r="AV17" s="83">
        <f t="shared" si="4"/>
        <v>0.34615384615384615</v>
      </c>
      <c r="AW17" s="100">
        <v>461</v>
      </c>
      <c r="AX17" s="6">
        <v>11</v>
      </c>
      <c r="AY17" s="83">
        <f t="shared" si="6"/>
        <v>5.5555555555555552E-2</v>
      </c>
      <c r="AZ17" s="34">
        <v>75</v>
      </c>
      <c r="BA17" s="6">
        <v>11</v>
      </c>
      <c r="BB17" s="83">
        <f t="shared" si="8"/>
        <v>0.61009174311926606</v>
      </c>
    </row>
    <row r="18" spans="2:54" x14ac:dyDescent="0.25">
      <c r="B18" s="6">
        <f t="shared" si="1"/>
        <v>801</v>
      </c>
      <c r="C18" s="5">
        <v>40989</v>
      </c>
      <c r="D18" s="6" t="s">
        <v>338</v>
      </c>
      <c r="E18" s="6" t="s">
        <v>297</v>
      </c>
      <c r="F18" s="33">
        <v>30</v>
      </c>
      <c r="G18" s="34">
        <f t="shared" si="2"/>
        <v>228</v>
      </c>
      <c r="H18" s="34">
        <v>228</v>
      </c>
      <c r="I18" s="34">
        <v>26</v>
      </c>
      <c r="K18" s="34">
        <v>27</v>
      </c>
      <c r="L18" s="6">
        <v>12</v>
      </c>
      <c r="M18" s="83">
        <f t="shared" si="3"/>
        <v>0.58849557522123896</v>
      </c>
      <c r="AK18" s="6">
        <f t="shared" si="0"/>
        <v>883</v>
      </c>
      <c r="AL18" s="5">
        <v>41073</v>
      </c>
      <c r="AM18" s="6" t="s">
        <v>338</v>
      </c>
      <c r="AN18" s="6" t="s">
        <v>296</v>
      </c>
      <c r="AO18" s="33">
        <v>240</v>
      </c>
      <c r="AP18" s="34">
        <f t="shared" si="7"/>
        <v>4</v>
      </c>
      <c r="AQ18" s="34">
        <v>4</v>
      </c>
      <c r="AR18" s="34">
        <v>79</v>
      </c>
      <c r="AT18" s="34">
        <v>130</v>
      </c>
      <c r="AU18" s="6">
        <v>12</v>
      </c>
      <c r="AV18" s="83">
        <f t="shared" si="4"/>
        <v>0.2846153846153846</v>
      </c>
      <c r="AZ18" s="34">
        <v>79</v>
      </c>
      <c r="BA18" s="6">
        <v>12</v>
      </c>
      <c r="BB18" s="83">
        <f t="shared" si="8"/>
        <v>0.57339449541284404</v>
      </c>
    </row>
    <row r="19" spans="2:54" x14ac:dyDescent="0.25">
      <c r="B19" s="6">
        <f t="shared" si="1"/>
        <v>826</v>
      </c>
      <c r="C19" s="5">
        <v>41015</v>
      </c>
      <c r="D19" s="6" t="s">
        <v>338</v>
      </c>
      <c r="E19" s="6" t="s">
        <v>296</v>
      </c>
      <c r="F19" s="33">
        <v>300</v>
      </c>
      <c r="G19" s="34">
        <f t="shared" si="2"/>
        <v>26</v>
      </c>
      <c r="H19" s="34">
        <v>26</v>
      </c>
      <c r="I19" s="34">
        <v>27</v>
      </c>
      <c r="K19" s="34">
        <v>32</v>
      </c>
      <c r="L19" s="6">
        <v>13</v>
      </c>
      <c r="M19" s="83">
        <f t="shared" si="3"/>
        <v>0.55309734513274333</v>
      </c>
      <c r="AK19" s="6">
        <f t="shared" si="0"/>
        <v>893</v>
      </c>
      <c r="AL19" s="5">
        <v>41083</v>
      </c>
      <c r="AM19" s="6" t="s">
        <v>338</v>
      </c>
      <c r="AN19" s="6" t="s">
        <v>296</v>
      </c>
      <c r="AO19" s="33">
        <v>60</v>
      </c>
      <c r="AP19" s="34">
        <f t="shared" si="7"/>
        <v>10</v>
      </c>
      <c r="AQ19" s="34">
        <v>10</v>
      </c>
      <c r="AR19" s="34">
        <v>109</v>
      </c>
      <c r="AT19" s="34">
        <v>130</v>
      </c>
      <c r="AU19" s="6">
        <v>13</v>
      </c>
      <c r="AV19" s="83">
        <f t="shared" si="4"/>
        <v>0.22307692307692309</v>
      </c>
      <c r="AX19" s="80" t="s">
        <v>285</v>
      </c>
      <c r="AY19" s="81">
        <f>COUNT(AX7:AX17)</f>
        <v>11</v>
      </c>
      <c r="AZ19" s="34">
        <v>93</v>
      </c>
      <c r="BA19" s="6">
        <v>13</v>
      </c>
      <c r="BB19" s="83">
        <f t="shared" si="8"/>
        <v>0.53669724770642202</v>
      </c>
    </row>
    <row r="20" spans="2:54" x14ac:dyDescent="0.25">
      <c r="B20" s="6">
        <f t="shared" si="1"/>
        <v>828</v>
      </c>
      <c r="C20" s="5">
        <v>41017</v>
      </c>
      <c r="D20" s="6" t="s">
        <v>338</v>
      </c>
      <c r="E20" s="6" t="s">
        <v>296</v>
      </c>
      <c r="F20" s="33">
        <v>120</v>
      </c>
      <c r="G20" s="34">
        <f t="shared" si="2"/>
        <v>2</v>
      </c>
      <c r="H20" s="34">
        <v>2</v>
      </c>
      <c r="I20" s="34">
        <v>32</v>
      </c>
      <c r="K20" s="34">
        <v>36</v>
      </c>
      <c r="L20" s="6">
        <v>14</v>
      </c>
      <c r="M20" s="83">
        <f t="shared" si="3"/>
        <v>0.51769911504424782</v>
      </c>
      <c r="O20" s="11"/>
      <c r="P20" s="11"/>
      <c r="Q20" s="11"/>
      <c r="R20" s="11"/>
      <c r="AK20" s="6">
        <f t="shared" si="0"/>
        <v>1023</v>
      </c>
      <c r="AL20" s="5">
        <v>41216</v>
      </c>
      <c r="AM20" s="6" t="s">
        <v>338</v>
      </c>
      <c r="AN20" s="6" t="s">
        <v>296</v>
      </c>
      <c r="AO20" s="33">
        <v>30</v>
      </c>
      <c r="AP20" s="34">
        <f t="shared" si="7"/>
        <v>130</v>
      </c>
      <c r="AQ20" s="34">
        <v>130</v>
      </c>
      <c r="AR20" s="34">
        <v>130</v>
      </c>
      <c r="AT20" s="34">
        <v>250</v>
      </c>
      <c r="AU20" s="6">
        <v>14</v>
      </c>
      <c r="AV20" s="83">
        <f t="shared" si="4"/>
        <v>0.16153846153846155</v>
      </c>
      <c r="AX20" s="11"/>
      <c r="AY20" s="11"/>
      <c r="AZ20" s="34">
        <v>109</v>
      </c>
      <c r="BA20" s="6">
        <v>14</v>
      </c>
      <c r="BB20" s="83">
        <f t="shared" si="8"/>
        <v>0.5</v>
      </c>
    </row>
    <row r="21" spans="2:54" x14ac:dyDescent="0.25">
      <c r="B21" s="6">
        <f t="shared" si="1"/>
        <v>837</v>
      </c>
      <c r="C21" s="5">
        <v>41026</v>
      </c>
      <c r="D21" s="6" t="s">
        <v>338</v>
      </c>
      <c r="E21" s="6" t="s">
        <v>297</v>
      </c>
      <c r="F21" s="33">
        <v>60</v>
      </c>
      <c r="G21" s="34">
        <f t="shared" si="2"/>
        <v>9</v>
      </c>
      <c r="H21" s="34">
        <v>9</v>
      </c>
      <c r="I21" s="34">
        <v>36</v>
      </c>
      <c r="K21" s="34">
        <v>56</v>
      </c>
      <c r="L21" s="6">
        <v>15</v>
      </c>
      <c r="M21" s="83">
        <f t="shared" si="3"/>
        <v>0.48230088495575218</v>
      </c>
      <c r="O21" s="11"/>
      <c r="P21" s="87"/>
      <c r="Q21" s="11"/>
      <c r="R21" s="11"/>
      <c r="AK21" s="6">
        <f t="shared" si="0"/>
        <v>1696</v>
      </c>
      <c r="AL21" s="5">
        <v>41898</v>
      </c>
      <c r="AM21" s="6" t="s">
        <v>338</v>
      </c>
      <c r="AN21" s="6" t="s">
        <v>296</v>
      </c>
      <c r="AO21" s="33">
        <v>120</v>
      </c>
      <c r="AP21" s="34">
        <f t="shared" si="7"/>
        <v>673</v>
      </c>
      <c r="AQ21" s="34">
        <v>673</v>
      </c>
      <c r="AR21" s="34">
        <v>130</v>
      </c>
      <c r="AT21" s="34">
        <v>279</v>
      </c>
      <c r="AU21" s="6">
        <v>15</v>
      </c>
      <c r="AV21" s="83">
        <f t="shared" si="4"/>
        <v>0.1</v>
      </c>
      <c r="AX21" s="11"/>
      <c r="AY21" s="87"/>
      <c r="AZ21" s="34">
        <v>119</v>
      </c>
      <c r="BA21" s="6">
        <v>15</v>
      </c>
      <c r="BB21" s="83">
        <f t="shared" si="8"/>
        <v>0.46330275229357798</v>
      </c>
    </row>
    <row r="22" spans="2:54" x14ac:dyDescent="0.25">
      <c r="B22" s="6">
        <f t="shared" si="1"/>
        <v>864</v>
      </c>
      <c r="C22" s="5">
        <v>41053</v>
      </c>
      <c r="D22" s="6" t="s">
        <v>338</v>
      </c>
      <c r="E22" s="6" t="s">
        <v>296</v>
      </c>
      <c r="F22" s="33">
        <v>60</v>
      </c>
      <c r="G22" s="34">
        <f t="shared" si="2"/>
        <v>27</v>
      </c>
      <c r="H22" s="34">
        <v>27</v>
      </c>
      <c r="I22" s="34">
        <v>56</v>
      </c>
      <c r="K22" s="34">
        <v>74</v>
      </c>
      <c r="L22" s="6">
        <v>16</v>
      </c>
      <c r="M22" s="83">
        <f t="shared" si="3"/>
        <v>0.44690265486725661</v>
      </c>
      <c r="O22" s="11"/>
      <c r="P22" s="11"/>
      <c r="Q22" s="11"/>
      <c r="R22" s="11"/>
      <c r="AK22" s="6">
        <f t="shared" si="0"/>
        <v>1805</v>
      </c>
      <c r="AL22" s="5">
        <v>42009</v>
      </c>
      <c r="AM22" s="6" t="s">
        <v>338</v>
      </c>
      <c r="AN22" s="6" t="s">
        <v>296</v>
      </c>
      <c r="AO22" s="30">
        <v>60</v>
      </c>
      <c r="AP22" s="34">
        <f t="shared" si="7"/>
        <v>109</v>
      </c>
      <c r="AQ22" s="34">
        <v>109</v>
      </c>
      <c r="AR22" s="34">
        <v>250</v>
      </c>
      <c r="AT22" s="34">
        <v>673</v>
      </c>
      <c r="AU22" s="6">
        <v>16</v>
      </c>
      <c r="AV22" s="83">
        <f t="shared" si="4"/>
        <v>3.8461538461538464E-2</v>
      </c>
      <c r="AX22" s="11"/>
      <c r="AY22" s="11"/>
      <c r="AZ22" s="34">
        <v>130</v>
      </c>
      <c r="BA22" s="6">
        <v>16</v>
      </c>
      <c r="BB22" s="83">
        <f t="shared" si="8"/>
        <v>0.42660550458715596</v>
      </c>
    </row>
    <row r="23" spans="2:54" x14ac:dyDescent="0.25">
      <c r="B23" s="6">
        <f t="shared" si="1"/>
        <v>879</v>
      </c>
      <c r="C23" s="5">
        <v>41069</v>
      </c>
      <c r="D23" s="6" t="s">
        <v>338</v>
      </c>
      <c r="E23" s="6" t="s">
        <v>296</v>
      </c>
      <c r="F23" s="33">
        <v>60</v>
      </c>
      <c r="G23" s="34">
        <f t="shared" si="2"/>
        <v>16</v>
      </c>
      <c r="H23" s="34">
        <v>16</v>
      </c>
      <c r="I23" s="34">
        <v>74</v>
      </c>
      <c r="K23" s="34">
        <v>74</v>
      </c>
      <c r="L23" s="6">
        <v>17</v>
      </c>
      <c r="M23" s="83">
        <f t="shared" si="3"/>
        <v>0.41150442477876104</v>
      </c>
      <c r="O23" s="11"/>
      <c r="P23" s="11"/>
      <c r="Q23" s="11"/>
      <c r="R23" s="11"/>
      <c r="AK23" s="6">
        <f t="shared" si="0"/>
        <v>1880</v>
      </c>
      <c r="AL23" s="5">
        <v>42083</v>
      </c>
      <c r="AM23" s="6" t="s">
        <v>338</v>
      </c>
      <c r="AN23" s="6" t="s">
        <v>296</v>
      </c>
      <c r="AO23" s="30">
        <v>90</v>
      </c>
      <c r="AP23" s="34">
        <f t="shared" si="7"/>
        <v>75</v>
      </c>
      <c r="AQ23" s="34">
        <v>75</v>
      </c>
      <c r="AR23" s="34">
        <v>279</v>
      </c>
      <c r="AT23" s="84"/>
      <c r="AU23" s="11"/>
      <c r="AV23" s="87"/>
      <c r="AX23" s="11"/>
      <c r="AY23" s="11"/>
      <c r="AZ23" s="34">
        <v>130</v>
      </c>
      <c r="BA23" s="6">
        <v>17</v>
      </c>
      <c r="BB23" s="83">
        <f t="shared" si="8"/>
        <v>0.38990825688073394</v>
      </c>
    </row>
    <row r="24" spans="2:54" x14ac:dyDescent="0.25">
      <c r="B24" s="6">
        <f t="shared" si="1"/>
        <v>883</v>
      </c>
      <c r="C24" s="5">
        <v>41073</v>
      </c>
      <c r="D24" s="6" t="s">
        <v>338</v>
      </c>
      <c r="E24" s="6" t="s">
        <v>296</v>
      </c>
      <c r="F24" s="33">
        <v>240</v>
      </c>
      <c r="G24" s="34">
        <f t="shared" si="2"/>
        <v>4</v>
      </c>
      <c r="H24" s="34">
        <v>4</v>
      </c>
      <c r="I24" s="34">
        <v>74</v>
      </c>
      <c r="K24" s="34">
        <v>101</v>
      </c>
      <c r="L24" s="6">
        <v>18</v>
      </c>
      <c r="M24" s="83">
        <f t="shared" si="3"/>
        <v>0.37610619469026546</v>
      </c>
      <c r="O24" s="11"/>
      <c r="P24" s="11"/>
      <c r="Q24" s="11"/>
      <c r="R24" s="11"/>
      <c r="AK24" s="6">
        <f t="shared" si="0"/>
        <v>2010</v>
      </c>
      <c r="AL24" s="5">
        <v>42215</v>
      </c>
      <c r="AM24" s="6" t="s">
        <v>338</v>
      </c>
      <c r="AN24" s="6" t="s">
        <v>296</v>
      </c>
      <c r="AO24" s="30">
        <v>120</v>
      </c>
      <c r="AP24" s="34">
        <f t="shared" si="7"/>
        <v>130</v>
      </c>
      <c r="AQ24" s="34">
        <v>130</v>
      </c>
      <c r="AR24" s="34">
        <v>673</v>
      </c>
      <c r="AT24" s="84"/>
      <c r="AU24" s="80" t="s">
        <v>285</v>
      </c>
      <c r="AV24" s="81">
        <f>COUNT(AU7:AU22)</f>
        <v>16</v>
      </c>
      <c r="AX24" s="11"/>
      <c r="AY24" s="11"/>
      <c r="AZ24" s="34">
        <v>137</v>
      </c>
      <c r="BA24" s="6">
        <v>18</v>
      </c>
      <c r="BB24" s="83">
        <f t="shared" si="8"/>
        <v>0.35321100917431192</v>
      </c>
    </row>
    <row r="25" spans="2:54" x14ac:dyDescent="0.25">
      <c r="B25" s="6">
        <f t="shared" si="1"/>
        <v>893</v>
      </c>
      <c r="C25" s="5">
        <v>41083</v>
      </c>
      <c r="D25" s="6" t="s">
        <v>338</v>
      </c>
      <c r="E25" s="6" t="s">
        <v>296</v>
      </c>
      <c r="F25" s="33">
        <v>60</v>
      </c>
      <c r="G25" s="34">
        <f t="shared" si="2"/>
        <v>10</v>
      </c>
      <c r="H25" s="34">
        <v>10</v>
      </c>
      <c r="I25" s="34">
        <v>101</v>
      </c>
      <c r="K25" s="34">
        <v>110</v>
      </c>
      <c r="L25" s="6">
        <v>19</v>
      </c>
      <c r="M25" s="83">
        <f t="shared" si="3"/>
        <v>0.34070796460176989</v>
      </c>
      <c r="O25" s="11"/>
      <c r="P25" s="11"/>
      <c r="Q25" s="11"/>
      <c r="R25" s="11"/>
      <c r="AK25" s="6">
        <f t="shared" si="0"/>
        <v>21</v>
      </c>
      <c r="AL25" s="5">
        <v>40199</v>
      </c>
      <c r="AM25" s="6" t="s">
        <v>338</v>
      </c>
      <c r="AN25" s="6" t="s">
        <v>297</v>
      </c>
      <c r="AO25" s="34">
        <v>240</v>
      </c>
      <c r="AP25" s="79" t="s">
        <v>279</v>
      </c>
      <c r="AQ25" s="79" t="s">
        <v>279</v>
      </c>
      <c r="AR25" s="79" t="s">
        <v>279</v>
      </c>
      <c r="AT25" s="84"/>
      <c r="AU25" s="11"/>
      <c r="AV25" s="87"/>
      <c r="AX25" s="11"/>
      <c r="AY25" s="11"/>
      <c r="AZ25" s="34">
        <v>164</v>
      </c>
      <c r="BA25" s="6">
        <v>19</v>
      </c>
      <c r="BB25" s="83">
        <f t="shared" si="8"/>
        <v>0.3165137614678899</v>
      </c>
    </row>
    <row r="26" spans="2:54" x14ac:dyDescent="0.25">
      <c r="B26" s="6">
        <f t="shared" si="1"/>
        <v>1001</v>
      </c>
      <c r="C26" s="5">
        <v>41193</v>
      </c>
      <c r="D26" s="6" t="s">
        <v>338</v>
      </c>
      <c r="E26" s="6" t="s">
        <v>297</v>
      </c>
      <c r="F26" s="33">
        <v>120</v>
      </c>
      <c r="G26" s="34">
        <f>C26-C25</f>
        <v>110</v>
      </c>
      <c r="H26" s="34">
        <v>110</v>
      </c>
      <c r="I26" s="34">
        <v>110</v>
      </c>
      <c r="K26" s="34">
        <v>111</v>
      </c>
      <c r="L26" s="6">
        <v>20</v>
      </c>
      <c r="M26" s="83">
        <f t="shared" si="3"/>
        <v>0.30530973451327431</v>
      </c>
      <c r="O26" s="11"/>
      <c r="P26" s="11"/>
      <c r="Q26" s="11"/>
      <c r="R26" s="11"/>
      <c r="AK26" s="6">
        <f t="shared" si="0"/>
        <v>260</v>
      </c>
      <c r="AL26" s="5">
        <v>40441</v>
      </c>
      <c r="AM26" s="6" t="s">
        <v>338</v>
      </c>
      <c r="AN26" s="6" t="s">
        <v>297</v>
      </c>
      <c r="AO26" s="34">
        <v>180</v>
      </c>
      <c r="AP26" s="34">
        <f>AK26-AK25</f>
        <v>239</v>
      </c>
      <c r="AQ26" s="34">
        <v>239</v>
      </c>
      <c r="AR26" s="34">
        <v>7</v>
      </c>
      <c r="AT26" t="s">
        <v>294</v>
      </c>
      <c r="AU26" s="11"/>
      <c r="AV26" s="87"/>
      <c r="AX26" s="11"/>
      <c r="AY26" s="11"/>
      <c r="AZ26" s="34">
        <v>215</v>
      </c>
      <c r="BA26" s="6">
        <v>20</v>
      </c>
      <c r="BB26" s="83">
        <f t="shared" si="8"/>
        <v>0.27981651376146788</v>
      </c>
    </row>
    <row r="27" spans="2:54" x14ac:dyDescent="0.25">
      <c r="B27" s="6">
        <f t="shared" si="1"/>
        <v>1023</v>
      </c>
      <c r="C27" s="5">
        <v>41216</v>
      </c>
      <c r="D27" s="6" t="s">
        <v>338</v>
      </c>
      <c r="E27" s="6" t="s">
        <v>296</v>
      </c>
      <c r="F27" s="33">
        <v>30</v>
      </c>
      <c r="G27" s="34">
        <f t="shared" si="2"/>
        <v>23</v>
      </c>
      <c r="H27" s="34">
        <v>23</v>
      </c>
      <c r="I27" s="34">
        <v>111</v>
      </c>
      <c r="K27" s="34">
        <v>119</v>
      </c>
      <c r="L27" s="6">
        <v>21</v>
      </c>
      <c r="M27" s="83">
        <f t="shared" si="3"/>
        <v>0.26991150442477874</v>
      </c>
      <c r="O27" s="11"/>
      <c r="P27" s="11"/>
      <c r="Q27" s="11"/>
      <c r="R27" s="11"/>
      <c r="AK27" s="6">
        <f t="shared" si="0"/>
        <v>267</v>
      </c>
      <c r="AL27" s="5">
        <v>40448</v>
      </c>
      <c r="AM27" s="6" t="s">
        <v>338</v>
      </c>
      <c r="AN27" s="6" t="s">
        <v>297</v>
      </c>
      <c r="AO27" s="34">
        <v>120</v>
      </c>
      <c r="AP27" s="34">
        <f t="shared" ref="AP27:AP36" si="9">AK27-AK26</f>
        <v>7</v>
      </c>
      <c r="AQ27" s="34">
        <v>7</v>
      </c>
      <c r="AR27" s="34">
        <v>36</v>
      </c>
      <c r="AU27" s="11"/>
      <c r="AV27" s="87"/>
      <c r="AX27" s="11"/>
      <c r="AY27" s="11"/>
      <c r="AZ27" s="34">
        <v>239</v>
      </c>
      <c r="BA27" s="6">
        <v>21</v>
      </c>
      <c r="BB27" s="83">
        <f t="shared" si="8"/>
        <v>0.24311926605504589</v>
      </c>
    </row>
    <row r="28" spans="2:54" x14ac:dyDescent="0.25">
      <c r="B28" s="6">
        <f t="shared" si="1"/>
        <v>1216</v>
      </c>
      <c r="C28" s="5">
        <v>41410</v>
      </c>
      <c r="D28" s="6" t="s">
        <v>338</v>
      </c>
      <c r="E28" s="6" t="s">
        <v>297</v>
      </c>
      <c r="F28" s="33">
        <v>120</v>
      </c>
      <c r="G28" s="34">
        <f t="shared" si="2"/>
        <v>194</v>
      </c>
      <c r="H28" s="34">
        <v>194</v>
      </c>
      <c r="I28" s="34">
        <v>119</v>
      </c>
      <c r="K28" s="34">
        <v>120</v>
      </c>
      <c r="L28" s="6">
        <v>22</v>
      </c>
      <c r="M28" s="83">
        <f t="shared" si="3"/>
        <v>0.23451327433628319</v>
      </c>
      <c r="O28" s="11"/>
      <c r="P28" s="11"/>
      <c r="Q28" s="11"/>
      <c r="R28" s="11"/>
      <c r="AK28" s="6">
        <f t="shared" si="0"/>
        <v>404</v>
      </c>
      <c r="AL28" s="5">
        <v>40588</v>
      </c>
      <c r="AM28" s="6" t="s">
        <v>338</v>
      </c>
      <c r="AN28" s="6" t="s">
        <v>297</v>
      </c>
      <c r="AO28" s="33">
        <v>120</v>
      </c>
      <c r="AP28" s="34">
        <f t="shared" si="9"/>
        <v>137</v>
      </c>
      <c r="AQ28" s="34">
        <v>137</v>
      </c>
      <c r="AR28" s="34">
        <v>93</v>
      </c>
      <c r="AT28" t="s">
        <v>288</v>
      </c>
      <c r="AU28" s="11"/>
      <c r="AV28" s="87"/>
      <c r="AX28" s="11"/>
      <c r="AY28" s="11"/>
      <c r="AZ28" s="34">
        <v>244</v>
      </c>
      <c r="BA28" s="6">
        <v>22</v>
      </c>
      <c r="BB28" s="83">
        <f t="shared" si="8"/>
        <v>0.20642201834862386</v>
      </c>
    </row>
    <row r="29" spans="2:54" x14ac:dyDescent="0.25">
      <c r="B29" s="6">
        <f t="shared" si="1"/>
        <v>1460</v>
      </c>
      <c r="C29" s="5">
        <v>41659</v>
      </c>
      <c r="D29" s="6" t="s">
        <v>338</v>
      </c>
      <c r="E29" s="6" t="s">
        <v>297</v>
      </c>
      <c r="F29" s="33">
        <f>8*60</f>
        <v>480</v>
      </c>
      <c r="G29" s="34">
        <f t="shared" si="2"/>
        <v>249</v>
      </c>
      <c r="H29" s="34">
        <v>249</v>
      </c>
      <c r="I29" s="34">
        <v>120</v>
      </c>
      <c r="K29" s="34">
        <v>132</v>
      </c>
      <c r="L29" s="6">
        <v>23</v>
      </c>
      <c r="M29" s="83">
        <f t="shared" si="3"/>
        <v>0.19911504424778761</v>
      </c>
      <c r="AK29" s="6">
        <f t="shared" si="0"/>
        <v>497</v>
      </c>
      <c r="AL29" s="5">
        <v>40680</v>
      </c>
      <c r="AM29" s="6" t="s">
        <v>338</v>
      </c>
      <c r="AN29" s="6" t="s">
        <v>297</v>
      </c>
      <c r="AO29" s="33">
        <v>150</v>
      </c>
      <c r="AP29" s="34">
        <f t="shared" si="9"/>
        <v>93</v>
      </c>
      <c r="AQ29" s="34">
        <v>93</v>
      </c>
      <c r="AR29" s="34">
        <v>119</v>
      </c>
      <c r="AU29" s="11"/>
      <c r="AV29" s="87"/>
      <c r="AZ29" s="34">
        <v>250</v>
      </c>
      <c r="BA29" s="6">
        <v>23</v>
      </c>
      <c r="BB29" s="83">
        <f t="shared" si="8"/>
        <v>0.16972477064220184</v>
      </c>
    </row>
    <row r="30" spans="2:54" x14ac:dyDescent="0.25">
      <c r="B30" s="6">
        <f t="shared" si="1"/>
        <v>1579</v>
      </c>
      <c r="C30" s="5">
        <v>41778</v>
      </c>
      <c r="D30" s="6" t="s">
        <v>338</v>
      </c>
      <c r="E30" s="6" t="s">
        <v>297</v>
      </c>
      <c r="F30" s="33">
        <v>180</v>
      </c>
      <c r="G30" s="34">
        <f t="shared" si="2"/>
        <v>119</v>
      </c>
      <c r="H30" s="34">
        <v>119</v>
      </c>
      <c r="I30" s="34">
        <v>132</v>
      </c>
      <c r="K30" s="34">
        <v>137</v>
      </c>
      <c r="L30" s="6">
        <v>24</v>
      </c>
      <c r="M30" s="83">
        <f t="shared" si="3"/>
        <v>0.16371681415929204</v>
      </c>
      <c r="AK30" s="6">
        <f t="shared" si="0"/>
        <v>801</v>
      </c>
      <c r="AL30" s="5">
        <v>40989</v>
      </c>
      <c r="AM30" s="6" t="s">
        <v>338</v>
      </c>
      <c r="AN30" s="6" t="s">
        <v>297</v>
      </c>
      <c r="AO30" s="33">
        <v>30</v>
      </c>
      <c r="AP30" s="34">
        <f t="shared" si="9"/>
        <v>304</v>
      </c>
      <c r="AQ30" s="34">
        <v>304</v>
      </c>
      <c r="AR30" s="34">
        <v>137</v>
      </c>
      <c r="AT30" t="s">
        <v>289</v>
      </c>
      <c r="AU30" s="11"/>
      <c r="AV30" s="87"/>
      <c r="AZ30" s="34">
        <v>279</v>
      </c>
      <c r="BA30" s="6">
        <v>24</v>
      </c>
      <c r="BB30" s="83">
        <f t="shared" si="8"/>
        <v>0.13302752293577982</v>
      </c>
    </row>
    <row r="31" spans="2:54" x14ac:dyDescent="0.25">
      <c r="B31" s="6">
        <f t="shared" si="1"/>
        <v>1696</v>
      </c>
      <c r="C31" s="5">
        <v>41898</v>
      </c>
      <c r="D31" s="6" t="s">
        <v>338</v>
      </c>
      <c r="E31" s="6" t="s">
        <v>296</v>
      </c>
      <c r="F31" s="33">
        <v>120</v>
      </c>
      <c r="G31" s="34">
        <f t="shared" si="2"/>
        <v>120</v>
      </c>
      <c r="H31" s="34">
        <v>120</v>
      </c>
      <c r="I31" s="34">
        <v>137</v>
      </c>
      <c r="K31" s="34">
        <v>141</v>
      </c>
      <c r="L31" s="6">
        <v>25</v>
      </c>
      <c r="M31" s="83">
        <f t="shared" si="3"/>
        <v>0.12831858407079647</v>
      </c>
      <c r="AK31" s="6">
        <f t="shared" si="0"/>
        <v>837</v>
      </c>
      <c r="AL31" s="5">
        <v>41026</v>
      </c>
      <c r="AM31" s="6" t="s">
        <v>338</v>
      </c>
      <c r="AN31" s="6" t="s">
        <v>297</v>
      </c>
      <c r="AO31" s="33">
        <v>60</v>
      </c>
      <c r="AP31" s="34">
        <f t="shared" si="9"/>
        <v>36</v>
      </c>
      <c r="AQ31" s="34">
        <v>36</v>
      </c>
      <c r="AR31" s="34">
        <v>164</v>
      </c>
      <c r="AU31" s="11"/>
      <c r="AV31" s="87"/>
      <c r="AZ31" s="34">
        <v>304</v>
      </c>
      <c r="BA31" s="6">
        <v>25</v>
      </c>
      <c r="BB31" s="83">
        <f t="shared" si="8"/>
        <v>9.6330275229357804E-2</v>
      </c>
    </row>
    <row r="32" spans="2:54" x14ac:dyDescent="0.25">
      <c r="B32" s="6">
        <f t="shared" si="1"/>
        <v>1805</v>
      </c>
      <c r="C32" s="5">
        <v>42009</v>
      </c>
      <c r="D32" s="6" t="s">
        <v>338</v>
      </c>
      <c r="E32" s="6" t="s">
        <v>296</v>
      </c>
      <c r="F32" s="30">
        <v>60</v>
      </c>
      <c r="G32" s="34">
        <f t="shared" si="2"/>
        <v>111</v>
      </c>
      <c r="H32" s="34">
        <v>111</v>
      </c>
      <c r="I32" s="34">
        <v>141</v>
      </c>
      <c r="K32" s="34">
        <v>194</v>
      </c>
      <c r="L32" s="6">
        <v>26</v>
      </c>
      <c r="M32" s="83">
        <f t="shared" si="3"/>
        <v>9.2920353982300891E-2</v>
      </c>
      <c r="AK32" s="6">
        <f t="shared" si="0"/>
        <v>1001</v>
      </c>
      <c r="AL32" s="5">
        <v>41193</v>
      </c>
      <c r="AM32" s="6" t="s">
        <v>338</v>
      </c>
      <c r="AN32" s="6" t="s">
        <v>297</v>
      </c>
      <c r="AO32" s="33">
        <v>120</v>
      </c>
      <c r="AP32" s="34">
        <f t="shared" si="9"/>
        <v>164</v>
      </c>
      <c r="AQ32" s="34">
        <v>164</v>
      </c>
      <c r="AR32" s="34">
        <v>215</v>
      </c>
      <c r="AT32" t="s">
        <v>290</v>
      </c>
      <c r="AU32" s="11"/>
      <c r="AV32" s="87"/>
      <c r="AZ32" s="100">
        <v>461</v>
      </c>
      <c r="BA32" s="6">
        <v>26</v>
      </c>
      <c r="BB32" s="83">
        <f t="shared" si="8"/>
        <v>5.9633027522935783E-2</v>
      </c>
    </row>
    <row r="33" spans="2:54" x14ac:dyDescent="0.25">
      <c r="B33" s="6">
        <f t="shared" si="1"/>
        <v>1880</v>
      </c>
      <c r="C33" s="5">
        <v>42083</v>
      </c>
      <c r="D33" s="6" t="s">
        <v>338</v>
      </c>
      <c r="E33" s="6" t="s">
        <v>296</v>
      </c>
      <c r="F33" s="30">
        <v>90</v>
      </c>
      <c r="G33" s="34">
        <f t="shared" si="2"/>
        <v>74</v>
      </c>
      <c r="H33" s="34">
        <v>74</v>
      </c>
      <c r="I33" s="34">
        <v>194</v>
      </c>
      <c r="K33" s="34">
        <v>228</v>
      </c>
      <c r="L33" s="6">
        <v>27</v>
      </c>
      <c r="M33" s="83">
        <f t="shared" si="3"/>
        <v>5.7522123893805309E-2</v>
      </c>
      <c r="AK33" s="6">
        <f t="shared" si="0"/>
        <v>1216</v>
      </c>
      <c r="AL33" s="5">
        <v>41410</v>
      </c>
      <c r="AM33" s="6" t="s">
        <v>338</v>
      </c>
      <c r="AN33" s="6" t="s">
        <v>297</v>
      </c>
      <c r="AO33" s="33">
        <v>120</v>
      </c>
      <c r="AP33" s="34">
        <f t="shared" si="9"/>
        <v>215</v>
      </c>
      <c r="AQ33" s="34">
        <v>215</v>
      </c>
      <c r="AR33" s="34">
        <v>239</v>
      </c>
      <c r="AT33" t="s">
        <v>291</v>
      </c>
      <c r="AU33" s="11"/>
      <c r="AV33" s="87"/>
      <c r="AZ33" s="34">
        <v>673</v>
      </c>
      <c r="BA33" s="6">
        <v>27</v>
      </c>
      <c r="BB33" s="83">
        <f t="shared" si="8"/>
        <v>2.2935779816513763E-2</v>
      </c>
    </row>
    <row r="34" spans="2:54" x14ac:dyDescent="0.25">
      <c r="B34" s="6">
        <f t="shared" si="1"/>
        <v>2010</v>
      </c>
      <c r="C34" s="5">
        <v>42215</v>
      </c>
      <c r="D34" s="6" t="s">
        <v>338</v>
      </c>
      <c r="E34" s="6" t="s">
        <v>296</v>
      </c>
      <c r="F34" s="30">
        <v>120</v>
      </c>
      <c r="G34" s="34">
        <f t="shared" si="2"/>
        <v>132</v>
      </c>
      <c r="H34" s="34">
        <v>132</v>
      </c>
      <c r="I34" s="34">
        <v>228</v>
      </c>
      <c r="K34" s="34">
        <v>249</v>
      </c>
      <c r="L34" s="6">
        <v>28</v>
      </c>
      <c r="M34" s="83">
        <f t="shared" si="3"/>
        <v>2.2123893805309734E-2</v>
      </c>
      <c r="AK34" s="6">
        <f t="shared" si="0"/>
        <v>1460</v>
      </c>
      <c r="AL34" s="5">
        <v>41659</v>
      </c>
      <c r="AM34" s="6" t="s">
        <v>338</v>
      </c>
      <c r="AN34" s="6" t="s">
        <v>297</v>
      </c>
      <c r="AO34" s="33">
        <f>8*60</f>
        <v>480</v>
      </c>
      <c r="AP34" s="34">
        <f t="shared" si="9"/>
        <v>244</v>
      </c>
      <c r="AQ34" s="34">
        <v>244</v>
      </c>
      <c r="AR34" s="34">
        <v>244</v>
      </c>
      <c r="AT34" s="84"/>
      <c r="AU34" s="11"/>
      <c r="AV34" s="87"/>
    </row>
    <row r="35" spans="2:54" x14ac:dyDescent="0.25">
      <c r="B35" s="6">
        <f t="shared" si="1"/>
        <v>2040</v>
      </c>
      <c r="C35" s="5">
        <v>42247</v>
      </c>
      <c r="D35" s="6" t="s">
        <v>338</v>
      </c>
      <c r="E35" s="6" t="s">
        <v>297</v>
      </c>
      <c r="F35" s="30">
        <v>45</v>
      </c>
      <c r="G35" s="34">
        <f t="shared" si="2"/>
        <v>32</v>
      </c>
      <c r="H35" s="34">
        <v>32</v>
      </c>
      <c r="I35" s="34">
        <v>249</v>
      </c>
      <c r="AK35" s="6">
        <f t="shared" si="0"/>
        <v>1579</v>
      </c>
      <c r="AL35" s="5">
        <v>41778</v>
      </c>
      <c r="AM35" s="6" t="s">
        <v>338</v>
      </c>
      <c r="AN35" s="6" t="s">
        <v>297</v>
      </c>
      <c r="AO35" s="33">
        <v>180</v>
      </c>
      <c r="AP35" s="34">
        <f t="shared" si="9"/>
        <v>119</v>
      </c>
      <c r="AQ35" s="34">
        <v>119</v>
      </c>
      <c r="AR35" s="34">
        <v>304</v>
      </c>
      <c r="BA35" s="80" t="s">
        <v>285</v>
      </c>
      <c r="BB35" s="81">
        <f>COUNT(BA7:BA33)</f>
        <v>27</v>
      </c>
    </row>
    <row r="36" spans="2:54" x14ac:dyDescent="0.25">
      <c r="B36" s="6">
        <f t="shared" si="1"/>
        <v>405</v>
      </c>
      <c r="C36" s="5">
        <v>40589</v>
      </c>
      <c r="D36" s="6" t="s">
        <v>339</v>
      </c>
      <c r="E36" s="6" t="s">
        <v>296</v>
      </c>
      <c r="F36" s="33">
        <v>120</v>
      </c>
      <c r="G36" s="79" t="s">
        <v>279</v>
      </c>
      <c r="H36" s="79" t="s">
        <v>279</v>
      </c>
      <c r="I36" s="79" t="s">
        <v>279</v>
      </c>
      <c r="L36" s="80" t="s">
        <v>285</v>
      </c>
      <c r="M36" s="81">
        <f>COUNT(L7:L34)</f>
        <v>28</v>
      </c>
      <c r="AK36" s="6">
        <f t="shared" si="0"/>
        <v>2040</v>
      </c>
      <c r="AL36" s="5">
        <v>42247</v>
      </c>
      <c r="AM36" s="6" t="s">
        <v>338</v>
      </c>
      <c r="AN36" s="6" t="s">
        <v>297</v>
      </c>
      <c r="AO36" s="30">
        <v>45</v>
      </c>
      <c r="AP36" s="34">
        <f t="shared" si="9"/>
        <v>461</v>
      </c>
      <c r="AQ36" s="100">
        <v>461</v>
      </c>
      <c r="AR36" s="100">
        <v>461</v>
      </c>
    </row>
    <row r="37" spans="2:54" x14ac:dyDescent="0.25">
      <c r="B37" s="6">
        <f t="shared" si="1"/>
        <v>891</v>
      </c>
      <c r="C37" s="5">
        <v>41081</v>
      </c>
      <c r="D37" s="6" t="s">
        <v>339</v>
      </c>
      <c r="E37" s="6" t="s">
        <v>297</v>
      </c>
      <c r="F37" s="33">
        <v>60</v>
      </c>
      <c r="G37" s="34">
        <f>C37-C36</f>
        <v>492</v>
      </c>
      <c r="H37" s="34">
        <v>492</v>
      </c>
      <c r="I37" s="34">
        <v>14</v>
      </c>
      <c r="AK37" s="6">
        <f t="shared" si="0"/>
        <v>504</v>
      </c>
      <c r="AL37" s="5">
        <v>40687</v>
      </c>
      <c r="AM37" s="6" t="s">
        <v>338</v>
      </c>
      <c r="AN37" s="6" t="s">
        <v>298</v>
      </c>
      <c r="AO37" s="33">
        <v>180</v>
      </c>
      <c r="AP37" s="79" t="s">
        <v>279</v>
      </c>
      <c r="AQ37" s="79" t="s">
        <v>279</v>
      </c>
      <c r="AR37" s="79" t="s">
        <v>279</v>
      </c>
    </row>
    <row r="38" spans="2:54" x14ac:dyDescent="0.25">
      <c r="B38" s="6">
        <f t="shared" si="1"/>
        <v>999</v>
      </c>
      <c r="C38" s="5">
        <v>41191</v>
      </c>
      <c r="D38" s="6" t="s">
        <v>339</v>
      </c>
      <c r="E38" s="6" t="s">
        <v>297</v>
      </c>
      <c r="F38" s="33">
        <v>120</v>
      </c>
      <c r="G38" s="34">
        <f>C38-C37</f>
        <v>110</v>
      </c>
      <c r="H38" s="34">
        <v>110</v>
      </c>
      <c r="I38" s="34">
        <v>110</v>
      </c>
      <c r="K38" t="s">
        <v>294</v>
      </c>
      <c r="AK38" s="6">
        <f t="shared" si="0"/>
        <v>788</v>
      </c>
      <c r="AL38" s="5">
        <v>40976</v>
      </c>
      <c r="AM38" s="6" t="s">
        <v>340</v>
      </c>
      <c r="AN38" s="6" t="s">
        <v>296</v>
      </c>
      <c r="AO38" s="33">
        <v>240</v>
      </c>
      <c r="AP38" s="79" t="s">
        <v>279</v>
      </c>
      <c r="AQ38" s="79" t="s">
        <v>279</v>
      </c>
      <c r="AR38" s="79" t="s">
        <v>279</v>
      </c>
    </row>
    <row r="39" spans="2:54" x14ac:dyDescent="0.25">
      <c r="B39" s="6">
        <f t="shared" si="1"/>
        <v>1013</v>
      </c>
      <c r="C39" s="5">
        <v>41205</v>
      </c>
      <c r="D39" s="6" t="s">
        <v>339</v>
      </c>
      <c r="E39" s="6" t="s">
        <v>297</v>
      </c>
      <c r="F39" s="33">
        <v>120</v>
      </c>
      <c r="G39" s="34">
        <f>C39-C38</f>
        <v>14</v>
      </c>
      <c r="H39" s="34">
        <v>14</v>
      </c>
      <c r="I39" s="34">
        <v>492</v>
      </c>
      <c r="AK39" s="6">
        <f t="shared" si="0"/>
        <v>98</v>
      </c>
      <c r="AL39" s="5">
        <v>40276</v>
      </c>
      <c r="AM39" s="6" t="s">
        <v>340</v>
      </c>
      <c r="AN39" s="6" t="s">
        <v>297</v>
      </c>
      <c r="AO39" s="34">
        <v>300</v>
      </c>
      <c r="AP39" s="79" t="s">
        <v>279</v>
      </c>
      <c r="AQ39" s="79" t="s">
        <v>279</v>
      </c>
      <c r="AR39" s="79" t="s">
        <v>279</v>
      </c>
    </row>
    <row r="40" spans="2:54" x14ac:dyDescent="0.25">
      <c r="B40" s="6">
        <f t="shared" si="1"/>
        <v>1805</v>
      </c>
      <c r="C40" s="5">
        <v>42009</v>
      </c>
      <c r="D40" s="6" t="s">
        <v>339</v>
      </c>
      <c r="E40" s="6" t="s">
        <v>296</v>
      </c>
      <c r="F40" s="30">
        <v>60</v>
      </c>
      <c r="G40" s="34">
        <f>C40-C39</f>
        <v>804</v>
      </c>
      <c r="H40" s="34">
        <v>804</v>
      </c>
      <c r="I40" s="34">
        <v>804</v>
      </c>
      <c r="K40" t="s">
        <v>288</v>
      </c>
      <c r="AK40" s="6">
        <f t="shared" si="0"/>
        <v>210</v>
      </c>
      <c r="AL40" s="5">
        <v>40389</v>
      </c>
      <c r="AM40" s="6" t="s">
        <v>340</v>
      </c>
      <c r="AN40" s="6" t="s">
        <v>297</v>
      </c>
      <c r="AO40" s="34">
        <v>120</v>
      </c>
      <c r="AP40" s="34">
        <f>AK40-AK39</f>
        <v>112</v>
      </c>
      <c r="AQ40" s="34">
        <v>112</v>
      </c>
      <c r="AR40" s="34">
        <v>27</v>
      </c>
    </row>
    <row r="41" spans="2:54" x14ac:dyDescent="0.25">
      <c r="B41" s="6">
        <f t="shared" si="1"/>
        <v>98</v>
      </c>
      <c r="C41" s="5">
        <v>40276</v>
      </c>
      <c r="D41" s="6" t="s">
        <v>340</v>
      </c>
      <c r="E41" s="6" t="s">
        <v>297</v>
      </c>
      <c r="F41" s="34">
        <v>300</v>
      </c>
      <c r="G41" s="79" t="s">
        <v>279</v>
      </c>
      <c r="H41" s="79" t="s">
        <v>279</v>
      </c>
      <c r="I41" s="79" t="s">
        <v>279</v>
      </c>
      <c r="AK41" s="6">
        <f t="shared" si="0"/>
        <v>792</v>
      </c>
      <c r="AL41" s="5">
        <v>40980</v>
      </c>
      <c r="AM41" s="6" t="s">
        <v>340</v>
      </c>
      <c r="AN41" s="6" t="s">
        <v>297</v>
      </c>
      <c r="AO41" s="33">
        <v>30</v>
      </c>
      <c r="AP41" s="34">
        <f t="shared" ref="AP41:AP44" si="10">AK41-AK40</f>
        <v>582</v>
      </c>
      <c r="AQ41" s="100">
        <v>582</v>
      </c>
      <c r="AR41" s="34">
        <v>112</v>
      </c>
    </row>
    <row r="42" spans="2:54" x14ac:dyDescent="0.25">
      <c r="B42" s="6">
        <f t="shared" si="1"/>
        <v>210</v>
      </c>
      <c r="C42" s="5">
        <v>40389</v>
      </c>
      <c r="D42" s="6" t="s">
        <v>340</v>
      </c>
      <c r="E42" s="6" t="s">
        <v>297</v>
      </c>
      <c r="F42" s="34">
        <v>120</v>
      </c>
      <c r="G42" s="34">
        <f t="shared" ref="G42:G47" si="11">C42-C41</f>
        <v>113</v>
      </c>
      <c r="H42" s="34">
        <v>113</v>
      </c>
      <c r="I42" s="34">
        <v>4</v>
      </c>
      <c r="K42" t="s">
        <v>289</v>
      </c>
      <c r="AK42" s="6">
        <f t="shared" si="0"/>
        <v>819</v>
      </c>
      <c r="AL42" s="5">
        <v>41008</v>
      </c>
      <c r="AM42" s="6" t="s">
        <v>340</v>
      </c>
      <c r="AN42" s="6" t="s">
        <v>297</v>
      </c>
      <c r="AO42" s="33">
        <v>60</v>
      </c>
      <c r="AP42" s="34">
        <f t="shared" si="10"/>
        <v>27</v>
      </c>
      <c r="AQ42" s="34">
        <v>27</v>
      </c>
      <c r="AR42" s="34">
        <v>309</v>
      </c>
    </row>
    <row r="43" spans="2:54" x14ac:dyDescent="0.25">
      <c r="B43" s="6">
        <f t="shared" si="1"/>
        <v>788</v>
      </c>
      <c r="C43" s="5">
        <v>40976</v>
      </c>
      <c r="D43" s="6" t="s">
        <v>340</v>
      </c>
      <c r="E43" s="6" t="s">
        <v>296</v>
      </c>
      <c r="F43" s="33">
        <v>240</v>
      </c>
      <c r="G43" s="34">
        <f t="shared" si="11"/>
        <v>587</v>
      </c>
      <c r="H43" s="34">
        <v>587</v>
      </c>
      <c r="I43" s="34">
        <v>28</v>
      </c>
      <c r="AK43" s="6">
        <f t="shared" si="0"/>
        <v>1228</v>
      </c>
      <c r="AL43" s="5">
        <v>41422</v>
      </c>
      <c r="AM43" s="6" t="s">
        <v>340</v>
      </c>
      <c r="AN43" s="6" t="s">
        <v>297</v>
      </c>
      <c r="AO43" s="33">
        <v>180</v>
      </c>
      <c r="AP43" s="34">
        <f t="shared" si="10"/>
        <v>409</v>
      </c>
      <c r="AQ43" s="34">
        <v>409</v>
      </c>
      <c r="AR43" s="34">
        <v>409</v>
      </c>
    </row>
    <row r="44" spans="2:54" x14ac:dyDescent="0.25">
      <c r="B44" s="6">
        <f t="shared" si="1"/>
        <v>792</v>
      </c>
      <c r="C44" s="5">
        <v>40980</v>
      </c>
      <c r="D44" s="6" t="s">
        <v>340</v>
      </c>
      <c r="E44" s="6" t="s">
        <v>297</v>
      </c>
      <c r="F44" s="33">
        <v>30</v>
      </c>
      <c r="G44" s="34">
        <f t="shared" si="11"/>
        <v>4</v>
      </c>
      <c r="H44" s="34">
        <v>4</v>
      </c>
      <c r="I44" s="34">
        <v>113</v>
      </c>
      <c r="K44" t="s">
        <v>290</v>
      </c>
      <c r="AK44" s="6">
        <f t="shared" si="0"/>
        <v>1537</v>
      </c>
      <c r="AL44" s="5">
        <v>41736</v>
      </c>
      <c r="AM44" s="6" t="s">
        <v>340</v>
      </c>
      <c r="AN44" s="6" t="s">
        <v>297</v>
      </c>
      <c r="AO44" s="33">
        <f>12*60</f>
        <v>720</v>
      </c>
      <c r="AP44" s="34">
        <f t="shared" si="10"/>
        <v>309</v>
      </c>
      <c r="AQ44" s="34">
        <v>309</v>
      </c>
      <c r="AR44" s="100">
        <v>582</v>
      </c>
    </row>
    <row r="45" spans="2:54" x14ac:dyDescent="0.25">
      <c r="B45" s="6">
        <f t="shared" si="1"/>
        <v>819</v>
      </c>
      <c r="C45" s="5">
        <v>41008</v>
      </c>
      <c r="D45" s="6" t="s">
        <v>340</v>
      </c>
      <c r="E45" s="6" t="s">
        <v>297</v>
      </c>
      <c r="F45" s="33">
        <v>60</v>
      </c>
      <c r="G45" s="34">
        <f t="shared" si="11"/>
        <v>28</v>
      </c>
      <c r="H45" s="34">
        <v>28</v>
      </c>
      <c r="I45" s="34">
        <v>314</v>
      </c>
      <c r="K45" t="s">
        <v>291</v>
      </c>
      <c r="AK45" s="6">
        <f t="shared" si="0"/>
        <v>405</v>
      </c>
      <c r="AL45" s="5">
        <v>40589</v>
      </c>
      <c r="AM45" s="6" t="s">
        <v>339</v>
      </c>
      <c r="AN45" s="6" t="s">
        <v>296</v>
      </c>
      <c r="AO45" s="33">
        <v>120</v>
      </c>
      <c r="AP45" s="79" t="s">
        <v>279</v>
      </c>
      <c r="AQ45" s="79" t="s">
        <v>279</v>
      </c>
      <c r="AR45" s="79" t="s">
        <v>279</v>
      </c>
    </row>
    <row r="46" spans="2:54" x14ac:dyDescent="0.25">
      <c r="B46" s="6">
        <f t="shared" si="1"/>
        <v>1228</v>
      </c>
      <c r="C46" s="5">
        <v>41422</v>
      </c>
      <c r="D46" s="6" t="s">
        <v>340</v>
      </c>
      <c r="E46" s="6" t="s">
        <v>297</v>
      </c>
      <c r="F46" s="33">
        <v>180</v>
      </c>
      <c r="G46" s="34">
        <f t="shared" si="11"/>
        <v>414</v>
      </c>
      <c r="H46" s="34">
        <v>414</v>
      </c>
      <c r="I46" s="34">
        <v>414</v>
      </c>
      <c r="AK46" s="6">
        <f t="shared" si="0"/>
        <v>1805</v>
      </c>
      <c r="AL46" s="5">
        <v>42009</v>
      </c>
      <c r="AM46" s="6" t="s">
        <v>339</v>
      </c>
      <c r="AN46" s="6" t="s">
        <v>296</v>
      </c>
      <c r="AO46" s="30">
        <v>60</v>
      </c>
      <c r="AP46" s="34">
        <f>AK46-AK45</f>
        <v>1400</v>
      </c>
      <c r="AQ46" s="34">
        <v>1400</v>
      </c>
      <c r="AR46" s="34">
        <v>1400</v>
      </c>
    </row>
    <row r="47" spans="2:54" x14ac:dyDescent="0.25">
      <c r="B47" s="6">
        <f t="shared" si="1"/>
        <v>1537</v>
      </c>
      <c r="C47" s="5">
        <v>41736</v>
      </c>
      <c r="D47" s="6" t="s">
        <v>340</v>
      </c>
      <c r="E47" s="6" t="s">
        <v>297</v>
      </c>
      <c r="F47" s="33">
        <f>12*60</f>
        <v>720</v>
      </c>
      <c r="G47" s="34">
        <f t="shared" si="11"/>
        <v>314</v>
      </c>
      <c r="H47" s="34">
        <v>314</v>
      </c>
      <c r="I47" s="34">
        <v>587</v>
      </c>
      <c r="AK47" s="6">
        <f t="shared" si="0"/>
        <v>891</v>
      </c>
      <c r="AL47" s="5">
        <v>41081</v>
      </c>
      <c r="AM47" s="6" t="s">
        <v>339</v>
      </c>
      <c r="AN47" s="6" t="s">
        <v>297</v>
      </c>
      <c r="AO47" s="33">
        <v>60</v>
      </c>
      <c r="AP47" s="79" t="s">
        <v>279</v>
      </c>
      <c r="AQ47" s="79" t="s">
        <v>279</v>
      </c>
      <c r="AR47" s="79" t="s">
        <v>279</v>
      </c>
    </row>
    <row r="48" spans="2:54" x14ac:dyDescent="0.25">
      <c r="B48" s="6">
        <f t="shared" si="1"/>
        <v>1532</v>
      </c>
      <c r="C48" s="5">
        <v>41731</v>
      </c>
      <c r="D48" s="6" t="s">
        <v>341</v>
      </c>
      <c r="E48" s="6" t="s">
        <v>297</v>
      </c>
      <c r="F48" s="33">
        <f>7*24*60</f>
        <v>10080</v>
      </c>
      <c r="G48" s="79" t="s">
        <v>279</v>
      </c>
      <c r="H48" s="79" t="s">
        <v>279</v>
      </c>
      <c r="I48" s="79" t="s">
        <v>279</v>
      </c>
      <c r="AK48" s="6">
        <f t="shared" si="0"/>
        <v>999</v>
      </c>
      <c r="AL48" s="5">
        <v>41191</v>
      </c>
      <c r="AM48" s="6" t="s">
        <v>339</v>
      </c>
      <c r="AN48" s="6" t="s">
        <v>297</v>
      </c>
      <c r="AO48" s="33">
        <v>120</v>
      </c>
      <c r="AP48" s="100">
        <f>AK48-AK47</f>
        <v>108</v>
      </c>
      <c r="AQ48" s="34">
        <v>108</v>
      </c>
      <c r="AR48" s="34">
        <v>14</v>
      </c>
    </row>
    <row r="49" spans="2:44" x14ac:dyDescent="0.25">
      <c r="B49" s="6">
        <f t="shared" si="1"/>
        <v>1994</v>
      </c>
      <c r="C49" s="5">
        <v>42199</v>
      </c>
      <c r="D49" s="6" t="s">
        <v>341</v>
      </c>
      <c r="E49" s="6" t="s">
        <v>297</v>
      </c>
      <c r="F49" s="30">
        <v>480</v>
      </c>
      <c r="G49" s="34">
        <f>C49-C48</f>
        <v>468</v>
      </c>
      <c r="H49" s="34">
        <v>468</v>
      </c>
      <c r="I49" s="34">
        <v>468</v>
      </c>
      <c r="AK49" s="6">
        <f t="shared" si="0"/>
        <v>1013</v>
      </c>
      <c r="AL49" s="5">
        <v>41205</v>
      </c>
      <c r="AM49" s="6" t="s">
        <v>339</v>
      </c>
      <c r="AN49" s="6" t="s">
        <v>297</v>
      </c>
      <c r="AO49" s="33">
        <v>120</v>
      </c>
      <c r="AP49" s="100">
        <f>AK49-AK48</f>
        <v>14</v>
      </c>
      <c r="AQ49" s="34">
        <v>14</v>
      </c>
      <c r="AR49" s="34">
        <v>108</v>
      </c>
    </row>
    <row r="51" spans="2:44" x14ac:dyDescent="0.25">
      <c r="B51" s="132" t="s">
        <v>295</v>
      </c>
      <c r="C51" s="133"/>
      <c r="D51" s="134"/>
    </row>
    <row r="52" spans="2:44" x14ac:dyDescent="0.25">
      <c r="B52" s="98" t="s">
        <v>296</v>
      </c>
      <c r="C52" s="135" t="s">
        <v>299</v>
      </c>
      <c r="D52" s="135"/>
    </row>
    <row r="53" spans="2:44" x14ac:dyDescent="0.25">
      <c r="B53" s="98" t="s">
        <v>297</v>
      </c>
      <c r="C53" s="135" t="s">
        <v>300</v>
      </c>
      <c r="D53" s="135"/>
    </row>
    <row r="54" spans="2:44" x14ac:dyDescent="0.25">
      <c r="B54" s="98" t="s">
        <v>298</v>
      </c>
      <c r="C54" s="135" t="s">
        <v>302</v>
      </c>
      <c r="D54" s="135"/>
    </row>
    <row r="56" spans="2:44" x14ac:dyDescent="0.25">
      <c r="B56" s="99"/>
    </row>
    <row r="57" spans="2:44" x14ac:dyDescent="0.25">
      <c r="B57" s="99"/>
    </row>
  </sheetData>
  <sheetProtection sheet="1" objects="1" scenarios="1"/>
  <sortState ref="AZ7:AZ33">
    <sortCondition ref="AZ7"/>
  </sortState>
  <mergeCells count="22">
    <mergeCell ref="C52:D52"/>
    <mergeCell ref="C53:D53"/>
    <mergeCell ref="C54:D54"/>
    <mergeCell ref="B2:I3"/>
    <mergeCell ref="K4:M4"/>
    <mergeCell ref="N4:P4"/>
    <mergeCell ref="Q4:S4"/>
    <mergeCell ref="T4:V4"/>
    <mergeCell ref="B51:D51"/>
    <mergeCell ref="K2:V2"/>
    <mergeCell ref="K3:M3"/>
    <mergeCell ref="N3:P3"/>
    <mergeCell ref="Q3:S3"/>
    <mergeCell ref="T3:V3"/>
    <mergeCell ref="AT2:BB2"/>
    <mergeCell ref="AT4:AV4"/>
    <mergeCell ref="AW4:AY4"/>
    <mergeCell ref="AZ4:BB4"/>
    <mergeCell ref="AK2:AR3"/>
    <mergeCell ref="AT3:AV3"/>
    <mergeCell ref="AW3:AY3"/>
    <mergeCell ref="AZ3:BB3"/>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sheetPr>
  <dimension ref="B2:I52"/>
  <sheetViews>
    <sheetView zoomScaleNormal="100" workbookViewId="0">
      <selection activeCell="Q30" sqref="Q30"/>
    </sheetView>
  </sheetViews>
  <sheetFormatPr defaultRowHeight="15" x14ac:dyDescent="0.25"/>
  <cols>
    <col min="1" max="1" width="3" customWidth="1"/>
    <col min="2" max="2" width="10.42578125" bestFit="1" customWidth="1"/>
    <col min="3" max="3" width="12" bestFit="1" customWidth="1"/>
    <col min="4" max="4" width="10.42578125" bestFit="1" customWidth="1"/>
    <col min="5" max="5" width="9.140625" customWidth="1"/>
    <col min="6" max="6" width="10.42578125" bestFit="1" customWidth="1"/>
    <col min="7" max="7" width="12" bestFit="1" customWidth="1"/>
    <col min="8" max="8" width="10.42578125" bestFit="1" customWidth="1"/>
    <col min="9" max="9" width="20" bestFit="1" customWidth="1"/>
  </cols>
  <sheetData>
    <row r="2" spans="2:9" x14ac:dyDescent="0.25">
      <c r="B2" s="123" t="s">
        <v>167</v>
      </c>
      <c r="C2" s="123"/>
      <c r="D2" s="123"/>
      <c r="F2" s="123" t="s">
        <v>169</v>
      </c>
      <c r="G2" s="123"/>
      <c r="H2" s="123"/>
      <c r="I2" s="123"/>
    </row>
    <row r="3" spans="2:9" x14ac:dyDescent="0.25">
      <c r="B3" s="123"/>
      <c r="C3" s="123"/>
      <c r="D3" s="123"/>
      <c r="F3" s="123"/>
      <c r="G3" s="123"/>
      <c r="H3" s="123"/>
      <c r="I3" s="123"/>
    </row>
    <row r="4" spans="2:9" x14ac:dyDescent="0.25">
      <c r="B4" s="7" t="s">
        <v>165</v>
      </c>
      <c r="C4" s="7" t="s">
        <v>168</v>
      </c>
      <c r="D4" s="7" t="s">
        <v>5</v>
      </c>
      <c r="E4" s="2"/>
      <c r="F4" s="7" t="s">
        <v>165</v>
      </c>
      <c r="G4" s="7" t="s">
        <v>168</v>
      </c>
      <c r="H4" s="7" t="s">
        <v>5</v>
      </c>
      <c r="I4" s="7" t="s">
        <v>2</v>
      </c>
    </row>
    <row r="5" spans="2:9" x14ac:dyDescent="0.25">
      <c r="B5" s="8">
        <v>42004</v>
      </c>
      <c r="C5" s="8"/>
      <c r="D5" s="9"/>
      <c r="F5" s="8">
        <f>B5</f>
        <v>42004</v>
      </c>
      <c r="G5" s="8"/>
      <c r="H5" s="9"/>
      <c r="I5" s="9"/>
    </row>
    <row r="6" spans="2:9" x14ac:dyDescent="0.25">
      <c r="B6" s="6">
        <f>DAYS360($B$5,D6)</f>
        <v>5</v>
      </c>
      <c r="C6" s="10">
        <v>2</v>
      </c>
      <c r="D6" s="5">
        <v>42009</v>
      </c>
      <c r="F6" s="6">
        <f t="shared" ref="F6:F25" si="0">DAYS360($B$5,H6)</f>
        <v>28</v>
      </c>
      <c r="G6" s="10">
        <v>1</v>
      </c>
      <c r="H6" s="5">
        <v>42032</v>
      </c>
      <c r="I6" s="6" t="s">
        <v>406</v>
      </c>
    </row>
    <row r="7" spans="2:9" x14ac:dyDescent="0.25">
      <c r="B7" s="6">
        <f t="shared" ref="B7:B22" si="1">DAYS360($B$5,D7)</f>
        <v>28</v>
      </c>
      <c r="C7" s="10">
        <v>1</v>
      </c>
      <c r="D7" s="5">
        <v>42032</v>
      </c>
      <c r="F7" s="6">
        <f t="shared" si="0"/>
        <v>159</v>
      </c>
      <c r="G7" s="10">
        <v>1</v>
      </c>
      <c r="H7" s="5">
        <v>42164</v>
      </c>
      <c r="I7" s="6" t="s">
        <v>406</v>
      </c>
    </row>
    <row r="8" spans="2:9" x14ac:dyDescent="0.25">
      <c r="B8" s="6">
        <f t="shared" si="1"/>
        <v>28</v>
      </c>
      <c r="C8" s="10">
        <v>2</v>
      </c>
      <c r="D8" s="5">
        <v>42032</v>
      </c>
      <c r="F8" s="6">
        <f t="shared" si="0"/>
        <v>240</v>
      </c>
      <c r="G8" s="10">
        <v>1</v>
      </c>
      <c r="H8" s="5">
        <v>42247</v>
      </c>
      <c r="I8" s="6" t="s">
        <v>406</v>
      </c>
    </row>
    <row r="9" spans="2:9" x14ac:dyDescent="0.25">
      <c r="B9" s="6">
        <f t="shared" si="1"/>
        <v>40</v>
      </c>
      <c r="C9" s="10">
        <v>1</v>
      </c>
      <c r="D9" s="5">
        <v>42045</v>
      </c>
      <c r="F9" s="6">
        <f t="shared" si="0"/>
        <v>5</v>
      </c>
      <c r="G9" s="10">
        <v>2</v>
      </c>
      <c r="H9" s="5">
        <v>42009</v>
      </c>
      <c r="I9" s="6" t="s">
        <v>333</v>
      </c>
    </row>
    <row r="10" spans="2:9" x14ac:dyDescent="0.25">
      <c r="B10" s="6">
        <f t="shared" si="1"/>
        <v>65</v>
      </c>
      <c r="C10" s="10">
        <v>1</v>
      </c>
      <c r="D10" s="5">
        <v>42068</v>
      </c>
      <c r="F10" s="6">
        <f t="shared" si="0"/>
        <v>80</v>
      </c>
      <c r="G10" s="10">
        <v>1</v>
      </c>
      <c r="H10" s="5">
        <v>42083</v>
      </c>
      <c r="I10" s="6" t="s">
        <v>333</v>
      </c>
    </row>
    <row r="11" spans="2:9" x14ac:dyDescent="0.25">
      <c r="B11" s="6">
        <f t="shared" si="1"/>
        <v>80</v>
      </c>
      <c r="C11" s="10">
        <v>1</v>
      </c>
      <c r="D11" s="5">
        <v>42083</v>
      </c>
      <c r="F11" s="6">
        <f t="shared" si="0"/>
        <v>194</v>
      </c>
      <c r="G11" s="10">
        <v>1</v>
      </c>
      <c r="H11" s="5">
        <v>42199</v>
      </c>
      <c r="I11" s="6" t="s">
        <v>333</v>
      </c>
    </row>
    <row r="12" spans="2:9" x14ac:dyDescent="0.25">
      <c r="B12" s="6">
        <f t="shared" si="1"/>
        <v>90</v>
      </c>
      <c r="C12" s="10">
        <v>1</v>
      </c>
      <c r="D12" s="5">
        <v>42093</v>
      </c>
      <c r="F12" s="6">
        <f t="shared" si="0"/>
        <v>210</v>
      </c>
      <c r="G12" s="10">
        <v>1</v>
      </c>
      <c r="H12" s="5">
        <v>42215</v>
      </c>
      <c r="I12" s="6" t="s">
        <v>333</v>
      </c>
    </row>
    <row r="13" spans="2:9" x14ac:dyDescent="0.25">
      <c r="B13" s="6">
        <f t="shared" si="1"/>
        <v>124</v>
      </c>
      <c r="C13" s="10">
        <v>1</v>
      </c>
      <c r="D13" s="5">
        <v>42128</v>
      </c>
      <c r="F13" s="6">
        <f t="shared" si="0"/>
        <v>240</v>
      </c>
      <c r="G13" s="10">
        <v>1</v>
      </c>
      <c r="H13" s="5">
        <v>42247</v>
      </c>
      <c r="I13" s="6" t="s">
        <v>333</v>
      </c>
    </row>
    <row r="14" spans="2:9" x14ac:dyDescent="0.25">
      <c r="B14" s="6">
        <f t="shared" si="1"/>
        <v>159</v>
      </c>
      <c r="C14" s="10">
        <v>1</v>
      </c>
      <c r="D14" s="5">
        <v>42164</v>
      </c>
      <c r="F14" s="6">
        <f t="shared" si="0"/>
        <v>28</v>
      </c>
      <c r="G14" s="10">
        <v>1</v>
      </c>
      <c r="H14" s="5">
        <v>42032</v>
      </c>
      <c r="I14" s="6" t="s">
        <v>342</v>
      </c>
    </row>
    <row r="15" spans="2:9" x14ac:dyDescent="0.25">
      <c r="B15" s="6">
        <f t="shared" si="1"/>
        <v>194</v>
      </c>
      <c r="C15" s="10">
        <v>1</v>
      </c>
      <c r="D15" s="5">
        <v>42199</v>
      </c>
      <c r="F15" s="6">
        <f t="shared" si="0"/>
        <v>65</v>
      </c>
      <c r="G15" s="10">
        <v>1</v>
      </c>
      <c r="H15" s="5">
        <v>42068</v>
      </c>
      <c r="I15" s="6" t="s">
        <v>342</v>
      </c>
    </row>
    <row r="16" spans="2:9" x14ac:dyDescent="0.25">
      <c r="B16" s="6">
        <f t="shared" si="1"/>
        <v>199</v>
      </c>
      <c r="C16" s="10">
        <v>1</v>
      </c>
      <c r="D16" s="5">
        <v>42204</v>
      </c>
      <c r="F16" s="6">
        <f t="shared" si="0"/>
        <v>90</v>
      </c>
      <c r="G16" s="10">
        <v>1</v>
      </c>
      <c r="H16" s="5">
        <v>42093</v>
      </c>
      <c r="I16" s="6" t="s">
        <v>342</v>
      </c>
    </row>
    <row r="17" spans="2:9" x14ac:dyDescent="0.25">
      <c r="B17" s="6">
        <f t="shared" si="1"/>
        <v>210</v>
      </c>
      <c r="C17" s="10">
        <v>1</v>
      </c>
      <c r="D17" s="5">
        <v>42215</v>
      </c>
      <c r="F17" s="6">
        <f t="shared" si="0"/>
        <v>199</v>
      </c>
      <c r="G17" s="10">
        <v>1</v>
      </c>
      <c r="H17" s="5">
        <v>42204</v>
      </c>
      <c r="I17" s="6" t="s">
        <v>342</v>
      </c>
    </row>
    <row r="18" spans="2:9" x14ac:dyDescent="0.25">
      <c r="B18" s="6">
        <f t="shared" si="1"/>
        <v>214</v>
      </c>
      <c r="C18" s="10">
        <v>2</v>
      </c>
      <c r="D18" s="5">
        <v>42220</v>
      </c>
      <c r="F18" s="6">
        <f t="shared" si="0"/>
        <v>214</v>
      </c>
      <c r="G18" s="10">
        <v>1</v>
      </c>
      <c r="H18" s="5">
        <v>42220</v>
      </c>
      <c r="I18" s="6" t="s">
        <v>342</v>
      </c>
    </row>
    <row r="19" spans="2:9" x14ac:dyDescent="0.25">
      <c r="B19" s="6">
        <f t="shared" si="1"/>
        <v>240</v>
      </c>
      <c r="C19" s="10">
        <v>3</v>
      </c>
      <c r="D19" s="5">
        <v>42247</v>
      </c>
      <c r="F19" s="6">
        <f t="shared" si="0"/>
        <v>323</v>
      </c>
      <c r="G19" s="10">
        <v>1</v>
      </c>
      <c r="H19" s="5">
        <v>42331</v>
      </c>
      <c r="I19" s="6" t="s">
        <v>342</v>
      </c>
    </row>
    <row r="20" spans="2:9" x14ac:dyDescent="0.25">
      <c r="B20" s="6">
        <f t="shared" si="1"/>
        <v>319</v>
      </c>
      <c r="C20" s="10">
        <v>1</v>
      </c>
      <c r="D20" s="5">
        <v>42327</v>
      </c>
      <c r="F20" s="6">
        <f t="shared" si="0"/>
        <v>240</v>
      </c>
      <c r="G20" s="10">
        <v>1</v>
      </c>
      <c r="H20" s="5">
        <v>42247</v>
      </c>
      <c r="I20" s="6" t="s">
        <v>385</v>
      </c>
    </row>
    <row r="21" spans="2:9" x14ac:dyDescent="0.25">
      <c r="B21" s="6">
        <f t="shared" si="1"/>
        <v>323</v>
      </c>
      <c r="C21" s="10">
        <v>1</v>
      </c>
      <c r="D21" s="5">
        <v>42331</v>
      </c>
      <c r="F21" s="6">
        <f t="shared" si="0"/>
        <v>40</v>
      </c>
      <c r="G21" s="10">
        <v>1</v>
      </c>
      <c r="H21" s="5">
        <v>42045</v>
      </c>
      <c r="I21" s="6" t="s">
        <v>370</v>
      </c>
    </row>
    <row r="22" spans="2:9" x14ac:dyDescent="0.25">
      <c r="B22" s="6">
        <f t="shared" si="1"/>
        <v>333</v>
      </c>
      <c r="C22" s="10">
        <v>1</v>
      </c>
      <c r="D22" s="5">
        <v>42341</v>
      </c>
      <c r="F22" s="6">
        <f t="shared" si="0"/>
        <v>124</v>
      </c>
      <c r="G22" s="10">
        <v>1</v>
      </c>
      <c r="H22" s="5">
        <v>42128</v>
      </c>
      <c r="I22" s="6" t="s">
        <v>370</v>
      </c>
    </row>
    <row r="23" spans="2:9" x14ac:dyDescent="0.25">
      <c r="B23" s="11"/>
      <c r="C23" s="12"/>
      <c r="D23" s="13"/>
      <c r="F23" s="6">
        <f t="shared" si="0"/>
        <v>214</v>
      </c>
      <c r="G23" s="10">
        <v>1</v>
      </c>
      <c r="H23" s="5">
        <v>42220</v>
      </c>
      <c r="I23" s="6" t="s">
        <v>370</v>
      </c>
    </row>
    <row r="24" spans="2:9" x14ac:dyDescent="0.25">
      <c r="B24" s="11"/>
      <c r="C24" s="12"/>
      <c r="D24" s="13"/>
      <c r="F24" s="6">
        <f t="shared" si="0"/>
        <v>319</v>
      </c>
      <c r="G24" s="10">
        <v>1</v>
      </c>
      <c r="H24" s="5">
        <v>42327</v>
      </c>
      <c r="I24" s="6" t="s">
        <v>370</v>
      </c>
    </row>
    <row r="25" spans="2:9" x14ac:dyDescent="0.25">
      <c r="B25" s="3"/>
      <c r="D25" s="1"/>
      <c r="F25" s="6">
        <f t="shared" si="0"/>
        <v>333</v>
      </c>
      <c r="G25" s="10">
        <v>1</v>
      </c>
      <c r="H25" s="5">
        <v>42341</v>
      </c>
      <c r="I25" s="6" t="s">
        <v>370</v>
      </c>
    </row>
    <row r="26" spans="2:9" x14ac:dyDescent="0.25">
      <c r="B26" s="3"/>
      <c r="D26" s="1"/>
    </row>
    <row r="27" spans="2:9" x14ac:dyDescent="0.25">
      <c r="B27" s="3"/>
    </row>
    <row r="28" spans="2:9" x14ac:dyDescent="0.25">
      <c r="B28" s="3"/>
    </row>
    <row r="29" spans="2:9" x14ac:dyDescent="0.25">
      <c r="B29" s="3"/>
    </row>
    <row r="30" spans="2:9" x14ac:dyDescent="0.25">
      <c r="B30" s="3"/>
    </row>
    <row r="31" spans="2:9" x14ac:dyDescent="0.25">
      <c r="B31" s="3"/>
    </row>
    <row r="32" spans="2:9" x14ac:dyDescent="0.25">
      <c r="B32" s="3"/>
    </row>
    <row r="33" spans="2:2" x14ac:dyDescent="0.25">
      <c r="B33" s="3"/>
    </row>
    <row r="34" spans="2:2" x14ac:dyDescent="0.25">
      <c r="B34" s="3"/>
    </row>
    <row r="35" spans="2:2" x14ac:dyDescent="0.25">
      <c r="B35" s="3"/>
    </row>
    <row r="36" spans="2:2" x14ac:dyDescent="0.25">
      <c r="B36" s="3"/>
    </row>
    <row r="37" spans="2:2" x14ac:dyDescent="0.25">
      <c r="B37" s="3"/>
    </row>
    <row r="38" spans="2:2" x14ac:dyDescent="0.25">
      <c r="B38" s="3"/>
    </row>
    <row r="39" spans="2:2" x14ac:dyDescent="0.25">
      <c r="B39" s="3"/>
    </row>
    <row r="40" spans="2:2" x14ac:dyDescent="0.25">
      <c r="B40" s="3"/>
    </row>
    <row r="41" spans="2:2" x14ac:dyDescent="0.25">
      <c r="B41" s="3"/>
    </row>
    <row r="42" spans="2:2" x14ac:dyDescent="0.25">
      <c r="B42" s="3"/>
    </row>
    <row r="43" spans="2:2" x14ac:dyDescent="0.25">
      <c r="B43" s="3"/>
    </row>
    <row r="44" spans="2:2" x14ac:dyDescent="0.25">
      <c r="B44" s="3"/>
    </row>
    <row r="45" spans="2:2" x14ac:dyDescent="0.25">
      <c r="B45" s="3"/>
    </row>
    <row r="46" spans="2:2" x14ac:dyDescent="0.25">
      <c r="B46" s="3"/>
    </row>
    <row r="47" spans="2:2" x14ac:dyDescent="0.25">
      <c r="B47" s="3"/>
    </row>
    <row r="48" spans="2:2" x14ac:dyDescent="0.25">
      <c r="B48" s="3"/>
    </row>
    <row r="49" spans="2:2" x14ac:dyDescent="0.25">
      <c r="B49" s="3"/>
    </row>
    <row r="50" spans="2:2" x14ac:dyDescent="0.25">
      <c r="B50" s="3"/>
    </row>
    <row r="51" spans="2:2" x14ac:dyDescent="0.25">
      <c r="B51" s="3"/>
    </row>
    <row r="52" spans="2:2" x14ac:dyDescent="0.25">
      <c r="B52" s="3"/>
    </row>
  </sheetData>
  <sheetProtection sheet="1" objects="1" scenarios="1"/>
  <sortState ref="F6:I25">
    <sortCondition ref="I6:I25"/>
  </sortState>
  <mergeCells count="2">
    <mergeCell ref="B2:D3"/>
    <mergeCell ref="F2:I3"/>
  </mergeCells>
  <pageMargins left="0.7" right="0.7" top="0.75" bottom="0.75" header="0.3" footer="0.3"/>
  <pageSetup paperSize="9" orientation="portrait" horizontalDpi="300" verticalDpi="0" copies="0" r:id="rId1"/>
  <drawing r:id="rId2"/>
  <legacyDrawing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B2:BG106"/>
  <sheetViews>
    <sheetView zoomScale="85" zoomScaleNormal="85" workbookViewId="0">
      <selection activeCell="C6" sqref="C6"/>
    </sheetView>
  </sheetViews>
  <sheetFormatPr defaultRowHeight="15" x14ac:dyDescent="0.25"/>
  <cols>
    <col min="1" max="1" width="3" customWidth="1"/>
    <col min="2" max="2" width="10.42578125" bestFit="1" customWidth="1"/>
    <col min="3" max="3" width="12" bestFit="1" customWidth="1"/>
    <col min="4" max="4" width="10.42578125" bestFit="1" customWidth="1"/>
    <col min="5" max="5" width="22.85546875" bestFit="1" customWidth="1"/>
    <col min="7" max="7" width="10.85546875" bestFit="1" customWidth="1"/>
    <col min="8" max="8" width="14.85546875" bestFit="1" customWidth="1"/>
    <col min="9" max="9" width="12" bestFit="1" customWidth="1"/>
    <col min="10" max="10" width="11.28515625" bestFit="1" customWidth="1"/>
    <col min="11" max="11" width="11.28515625" customWidth="1"/>
    <col min="12" max="12" width="12.28515625" bestFit="1" customWidth="1"/>
    <col min="13" max="13" width="13.7109375" bestFit="1" customWidth="1"/>
    <col min="14" max="15" width="12" bestFit="1" customWidth="1"/>
    <col min="16" max="16" width="12" customWidth="1"/>
    <col min="17" max="17" width="14" bestFit="1" customWidth="1"/>
    <col min="18" max="18" width="12.28515625" bestFit="1" customWidth="1"/>
    <col min="20" max="21" width="10.42578125" bestFit="1" customWidth="1"/>
    <col min="22" max="22" width="21.42578125" bestFit="1" customWidth="1"/>
    <col min="24" max="24" width="10.85546875" bestFit="1" customWidth="1"/>
    <col min="25" max="25" width="14.85546875" bestFit="1" customWidth="1"/>
    <col min="26" max="26" width="12" bestFit="1" customWidth="1"/>
    <col min="27" max="27" width="11.42578125" bestFit="1" customWidth="1"/>
    <col min="28" max="29" width="11.42578125" customWidth="1"/>
    <col min="30" max="30" width="13.7109375" bestFit="1" customWidth="1"/>
    <col min="31" max="33" width="12" bestFit="1" customWidth="1"/>
    <col min="34" max="34" width="14" bestFit="1" customWidth="1"/>
    <col min="35" max="35" width="10.85546875" bestFit="1" customWidth="1"/>
    <col min="37" max="37" width="12.28515625" bestFit="1" customWidth="1"/>
    <col min="38" max="59" width="12.28515625" customWidth="1"/>
  </cols>
  <sheetData>
    <row r="2" spans="2:59" ht="15" customHeight="1" x14ac:dyDescent="0.25">
      <c r="B2" s="123" t="s">
        <v>344</v>
      </c>
      <c r="C2" s="123"/>
      <c r="D2" s="123"/>
      <c r="E2" s="123"/>
      <c r="F2" s="123"/>
      <c r="G2" s="123"/>
      <c r="H2" s="123"/>
      <c r="I2" s="123"/>
      <c r="J2" s="123"/>
      <c r="K2" s="123"/>
      <c r="L2" s="123"/>
      <c r="M2" s="123"/>
      <c r="N2" s="123"/>
      <c r="O2" s="123"/>
      <c r="P2" s="123"/>
      <c r="Q2" s="123"/>
      <c r="R2" s="123"/>
      <c r="T2" s="124" t="s">
        <v>345</v>
      </c>
      <c r="U2" s="125"/>
      <c r="V2" s="125"/>
      <c r="W2" s="125"/>
      <c r="X2" s="125"/>
      <c r="Y2" s="125"/>
      <c r="Z2" s="125"/>
      <c r="AA2" s="125"/>
      <c r="AB2" s="125"/>
      <c r="AC2" s="125"/>
      <c r="AD2" s="125"/>
      <c r="AE2" s="125"/>
      <c r="AF2" s="125"/>
      <c r="AG2" s="125"/>
      <c r="AH2" s="125"/>
      <c r="AI2" s="126"/>
      <c r="AJ2" t="s">
        <v>271</v>
      </c>
    </row>
    <row r="3" spans="2:59" x14ac:dyDescent="0.25">
      <c r="B3" s="123"/>
      <c r="C3" s="123"/>
      <c r="D3" s="123"/>
      <c r="E3" s="123"/>
      <c r="F3" s="123"/>
      <c r="G3" s="123"/>
      <c r="H3" s="123"/>
      <c r="I3" s="123"/>
      <c r="J3" s="123"/>
      <c r="K3" s="123"/>
      <c r="L3" s="123"/>
      <c r="M3" s="123"/>
      <c r="N3" s="123"/>
      <c r="O3" s="123"/>
      <c r="P3" s="123"/>
      <c r="Q3" s="123"/>
      <c r="R3" s="123"/>
      <c r="T3" s="127"/>
      <c r="U3" s="128"/>
      <c r="V3" s="128"/>
      <c r="W3" s="128"/>
      <c r="X3" s="128"/>
      <c r="Y3" s="128"/>
      <c r="Z3" s="128"/>
      <c r="AA3" s="128"/>
      <c r="AB3" s="128"/>
      <c r="AC3" s="128"/>
      <c r="AD3" s="128"/>
      <c r="AE3" s="128"/>
      <c r="AF3" s="128"/>
      <c r="AG3" s="128"/>
      <c r="AH3" s="128"/>
      <c r="AI3" s="129"/>
      <c r="AK3" s="123" t="s">
        <v>353</v>
      </c>
      <c r="AL3" s="123"/>
      <c r="AM3" s="123"/>
      <c r="AN3" s="123"/>
      <c r="AO3" s="123"/>
      <c r="AP3" s="123"/>
      <c r="AQ3" s="125" t="s">
        <v>359</v>
      </c>
      <c r="AR3" s="125"/>
      <c r="AS3" s="124" t="s">
        <v>277</v>
      </c>
      <c r="AT3" s="125"/>
      <c r="AU3" s="125"/>
      <c r="AV3" s="125"/>
      <c r="AW3" s="125"/>
      <c r="AX3" s="125"/>
      <c r="AY3" s="124" t="s">
        <v>368</v>
      </c>
      <c r="AZ3" s="125"/>
      <c r="BA3" s="125"/>
      <c r="BB3" s="125"/>
      <c r="BC3" s="123" t="s">
        <v>72</v>
      </c>
      <c r="BD3" s="123"/>
      <c r="BE3" s="123" t="s">
        <v>369</v>
      </c>
      <c r="BF3" s="123"/>
      <c r="BG3" s="123"/>
    </row>
    <row r="4" spans="2:59" x14ac:dyDescent="0.25">
      <c r="B4" s="7" t="s">
        <v>165</v>
      </c>
      <c r="C4" s="7" t="s">
        <v>168</v>
      </c>
      <c r="D4" s="7" t="s">
        <v>5</v>
      </c>
      <c r="E4" s="7" t="s">
        <v>2</v>
      </c>
      <c r="F4" s="7" t="s">
        <v>185</v>
      </c>
      <c r="G4" s="7" t="s">
        <v>191</v>
      </c>
      <c r="H4" s="7" t="s">
        <v>192</v>
      </c>
      <c r="I4" s="7" t="s">
        <v>194</v>
      </c>
      <c r="J4" s="7" t="s">
        <v>194</v>
      </c>
      <c r="K4" s="7" t="s">
        <v>223</v>
      </c>
      <c r="L4" s="7" t="s">
        <v>238</v>
      </c>
      <c r="M4" s="7" t="s">
        <v>236</v>
      </c>
      <c r="N4" s="41" t="s">
        <v>208</v>
      </c>
      <c r="O4" s="41" t="s">
        <v>230</v>
      </c>
      <c r="P4" s="41" t="s">
        <v>231</v>
      </c>
      <c r="Q4" s="41" t="s">
        <v>211</v>
      </c>
      <c r="R4" s="41" t="s">
        <v>260</v>
      </c>
      <c r="T4" s="7" t="s">
        <v>165</v>
      </c>
      <c r="U4" s="7" t="s">
        <v>5</v>
      </c>
      <c r="V4" s="7" t="s">
        <v>197</v>
      </c>
      <c r="W4" s="7" t="s">
        <v>185</v>
      </c>
      <c r="X4" s="7" t="s">
        <v>191</v>
      </c>
      <c r="Y4" s="7" t="s">
        <v>192</v>
      </c>
      <c r="Z4" s="7" t="s">
        <v>198</v>
      </c>
      <c r="AA4" s="7" t="s">
        <v>198</v>
      </c>
      <c r="AB4" s="7" t="s">
        <v>224</v>
      </c>
      <c r="AC4" s="7" t="s">
        <v>238</v>
      </c>
      <c r="AD4" s="7" t="s">
        <v>236</v>
      </c>
      <c r="AE4" s="41" t="s">
        <v>208</v>
      </c>
      <c r="AF4" s="41" t="s">
        <v>230</v>
      </c>
      <c r="AG4" s="41" t="s">
        <v>231</v>
      </c>
      <c r="AH4" s="41" t="s">
        <v>211</v>
      </c>
      <c r="AI4" s="41" t="s">
        <v>260</v>
      </c>
      <c r="AJ4" s="75" t="s">
        <v>264</v>
      </c>
      <c r="AK4" s="76" t="s">
        <v>265</v>
      </c>
      <c r="AL4" s="76" t="s">
        <v>265</v>
      </c>
      <c r="AM4" s="76" t="s">
        <v>265</v>
      </c>
      <c r="AN4" s="76" t="s">
        <v>265</v>
      </c>
      <c r="AO4" s="76" t="s">
        <v>265</v>
      </c>
      <c r="AP4" s="76" t="s">
        <v>265</v>
      </c>
      <c r="AQ4" s="76" t="s">
        <v>265</v>
      </c>
      <c r="AR4" s="76" t="s">
        <v>265</v>
      </c>
      <c r="AS4" s="76" t="s">
        <v>265</v>
      </c>
      <c r="AT4" s="76" t="s">
        <v>265</v>
      </c>
      <c r="AU4" s="76" t="s">
        <v>265</v>
      </c>
      <c r="AV4" s="76" t="s">
        <v>265</v>
      </c>
      <c r="AW4" s="76" t="s">
        <v>265</v>
      </c>
      <c r="AX4" s="76" t="s">
        <v>265</v>
      </c>
      <c r="AY4" s="76" t="s">
        <v>265</v>
      </c>
      <c r="AZ4" s="76" t="s">
        <v>265</v>
      </c>
      <c r="BA4" s="76" t="s">
        <v>265</v>
      </c>
      <c r="BB4" s="76" t="s">
        <v>265</v>
      </c>
      <c r="BC4" s="76" t="s">
        <v>265</v>
      </c>
      <c r="BD4" s="76" t="s">
        <v>265</v>
      </c>
      <c r="BE4" s="76" t="s">
        <v>265</v>
      </c>
      <c r="BF4" s="76" t="s">
        <v>265</v>
      </c>
      <c r="BG4" s="76" t="s">
        <v>265</v>
      </c>
    </row>
    <row r="5" spans="2:59" x14ac:dyDescent="0.25">
      <c r="B5" s="8"/>
      <c r="C5" s="8"/>
      <c r="D5" s="9"/>
      <c r="E5" s="9"/>
      <c r="F5" s="9" t="s">
        <v>187</v>
      </c>
      <c r="G5" s="9"/>
      <c r="H5" s="9" t="s">
        <v>187</v>
      </c>
      <c r="I5" s="9" t="s">
        <v>187</v>
      </c>
      <c r="J5" s="9" t="s">
        <v>199</v>
      </c>
      <c r="K5" s="9" t="s">
        <v>187</v>
      </c>
      <c r="L5" s="9" t="s">
        <v>237</v>
      </c>
      <c r="M5" s="9" t="s">
        <v>237</v>
      </c>
      <c r="N5" s="42" t="s">
        <v>257</v>
      </c>
      <c r="O5" s="42" t="s">
        <v>257</v>
      </c>
      <c r="P5" s="42" t="s">
        <v>257</v>
      </c>
      <c r="Q5" s="42" t="s">
        <v>257</v>
      </c>
      <c r="R5" s="42" t="s">
        <v>263</v>
      </c>
      <c r="T5" s="8"/>
      <c r="U5" s="9"/>
      <c r="V5" s="9"/>
      <c r="W5" s="9" t="s">
        <v>187</v>
      </c>
      <c r="X5" s="9"/>
      <c r="Y5" s="9" t="s">
        <v>187</v>
      </c>
      <c r="Z5" s="9" t="s">
        <v>187</v>
      </c>
      <c r="AA5" s="9" t="s">
        <v>199</v>
      </c>
      <c r="AB5" s="9" t="s">
        <v>187</v>
      </c>
      <c r="AC5" s="9" t="s">
        <v>237</v>
      </c>
      <c r="AD5" s="9" t="s">
        <v>237</v>
      </c>
      <c r="AE5" s="42" t="s">
        <v>267</v>
      </c>
      <c r="AF5" s="42" t="s">
        <v>267</v>
      </c>
      <c r="AG5" s="42" t="s">
        <v>267</v>
      </c>
      <c r="AH5" s="42" t="s">
        <v>267</v>
      </c>
      <c r="AI5" s="42" t="s">
        <v>263</v>
      </c>
      <c r="AJ5" s="42" t="s">
        <v>269</v>
      </c>
      <c r="AK5" s="42" t="s">
        <v>270</v>
      </c>
      <c r="AL5" s="42" t="s">
        <v>272</v>
      </c>
      <c r="AM5" s="42" t="s">
        <v>273</v>
      </c>
      <c r="AN5" s="42" t="s">
        <v>274</v>
      </c>
      <c r="AO5" s="42" t="s">
        <v>275</v>
      </c>
      <c r="AP5" s="42" t="s">
        <v>276</v>
      </c>
      <c r="AQ5" s="42" t="s">
        <v>272</v>
      </c>
      <c r="AR5" s="42" t="s">
        <v>274</v>
      </c>
      <c r="AS5" s="42" t="s">
        <v>270</v>
      </c>
      <c r="AT5" s="42" t="s">
        <v>272</v>
      </c>
      <c r="AU5" s="42" t="s">
        <v>273</v>
      </c>
      <c r="AV5" s="42" t="s">
        <v>274</v>
      </c>
      <c r="AW5" s="42" t="s">
        <v>275</v>
      </c>
      <c r="AX5" s="42" t="s">
        <v>276</v>
      </c>
      <c r="AY5" s="42" t="s">
        <v>270</v>
      </c>
      <c r="AZ5" s="42" t="s">
        <v>272</v>
      </c>
      <c r="BA5" s="42" t="s">
        <v>273</v>
      </c>
      <c r="BB5" s="42" t="s">
        <v>274</v>
      </c>
      <c r="BC5" s="42" t="s">
        <v>272</v>
      </c>
      <c r="BD5" s="42" t="s">
        <v>274</v>
      </c>
      <c r="BE5" s="42" t="s">
        <v>270</v>
      </c>
      <c r="BF5" s="42" t="s">
        <v>273</v>
      </c>
      <c r="BG5" s="42" t="s">
        <v>274</v>
      </c>
    </row>
    <row r="6" spans="2:59" x14ac:dyDescent="0.25">
      <c r="B6" s="6">
        <f>DAYS360("31-12-2009",D6)</f>
        <v>53</v>
      </c>
      <c r="C6" s="10">
        <v>1</v>
      </c>
      <c r="D6" s="5">
        <v>40232</v>
      </c>
      <c r="E6" s="6" t="s">
        <v>342</v>
      </c>
      <c r="F6" s="34">
        <v>180</v>
      </c>
      <c r="G6" s="31"/>
      <c r="H6" s="31"/>
      <c r="I6" s="31"/>
      <c r="J6" s="31"/>
      <c r="K6" s="31"/>
      <c r="L6" s="6">
        <f t="shared" ref="L6:L37" si="0">F6-$F$83</f>
        <v>-141.03896103896102</v>
      </c>
      <c r="M6" s="6">
        <f t="shared" ref="M6:M12" si="1">SQRT((L6*L6)/COUNT($B$6:$B$82))</f>
        <v>16.072881303268417</v>
      </c>
      <c r="N6" s="31"/>
      <c r="O6" s="31"/>
      <c r="P6" s="31"/>
      <c r="Q6" s="31"/>
      <c r="R6" s="31"/>
      <c r="T6" s="6">
        <f>DAYS360("31-12-2009",U6)</f>
        <v>240</v>
      </c>
      <c r="U6" s="5">
        <v>40420</v>
      </c>
      <c r="V6" s="6" t="s">
        <v>347</v>
      </c>
      <c r="W6" s="34">
        <v>60</v>
      </c>
      <c r="X6" s="31"/>
      <c r="Y6" s="31"/>
      <c r="Z6" s="31"/>
      <c r="AA6" s="31"/>
      <c r="AB6" s="31"/>
      <c r="AC6" s="31"/>
      <c r="AD6" s="31"/>
      <c r="AE6" s="31"/>
      <c r="AF6" s="31"/>
      <c r="AG6" s="31"/>
      <c r="AH6" s="31"/>
      <c r="AI6" s="31"/>
      <c r="AJ6">
        <v>1</v>
      </c>
      <c r="AK6" s="6">
        <f>EXP(-$AE$7*(AJ6))</f>
        <v>0.99442898380825406</v>
      </c>
      <c r="AL6" s="6">
        <f>EXP(-$AE$12*(AJ6))</f>
        <v>0.9888269325324206</v>
      </c>
      <c r="AM6" s="6">
        <f>EXP(-$AE$16*(AJ6))</f>
        <v>0.99163184820119987</v>
      </c>
      <c r="AN6" s="6">
        <f>EXP(-$AE$27*(AJ6))</f>
        <v>0.9718328750329811</v>
      </c>
      <c r="AO6" s="6">
        <f>EXP(-$AE$34*(AJ6))</f>
        <v>0.98319367626271825</v>
      </c>
      <c r="AP6" s="6">
        <f>EXP(-$AE$37*(AJ6))</f>
        <v>0.99442898380825406</v>
      </c>
      <c r="AQ6" s="6">
        <f>EXP(-$AE$39*(AJ6))</f>
        <v>0.99721836062779279</v>
      </c>
      <c r="AR6" s="6">
        <f>EXP(-$AE$41*(AJ6))</f>
        <v>0.99721836062779279</v>
      </c>
      <c r="AS6" s="6">
        <f>EXP(-$AE$45*(AJ6))</f>
        <v>0.99163184820119987</v>
      </c>
      <c r="AT6" s="6">
        <f>EXP(-$AE$51*(AJ6))</f>
        <v>0.98601421559700198</v>
      </c>
      <c r="AU6" s="6">
        <f>EXP(-$AE$56*(AJ6))</f>
        <v>0.9888269325324206</v>
      </c>
      <c r="AV6" s="6">
        <f>EXP(-$AE$64*(AJ6))</f>
        <v>0.98058314032410865</v>
      </c>
      <c r="AW6" s="6">
        <f>EXP(-$AE$66*(AJ6))</f>
        <v>0.99721836062779279</v>
      </c>
      <c r="AX6" s="6">
        <f>EXP(-$AE$71*(AJ6))</f>
        <v>0.9888269325324206</v>
      </c>
      <c r="AY6" s="6">
        <f>EXP(-$AE$73*(AJ6))</f>
        <v>0.99721836062779279</v>
      </c>
      <c r="AZ6" s="6">
        <f>EXP(-$AE$77*(AJ6))</f>
        <v>0.99163184820119987</v>
      </c>
      <c r="BA6" s="6">
        <f>EXP(-$AE$85*(AJ6))</f>
        <v>0.98019867330675525</v>
      </c>
      <c r="BB6" s="6">
        <f>EXP(-$AE$89*(AJ6))</f>
        <v>0.99833194367316302</v>
      </c>
      <c r="BC6" s="6">
        <f>EXP(-$AE$91*(AJ6))</f>
        <v>0.99721836062779279</v>
      </c>
      <c r="BD6" s="6">
        <f>EXP(-$AE$94*(AJ6))</f>
        <v>0.99888827137637837</v>
      </c>
      <c r="BE6" s="6">
        <f>EXP(-$AE$96*(AJ6))</f>
        <v>0.99721836062779279</v>
      </c>
      <c r="BF6" s="6">
        <f>EXP(-$AE$102*(AJ6))</f>
        <v>0.99721060153222096</v>
      </c>
      <c r="BG6" s="6">
        <f>EXP(-$AE$104*(AJ6))</f>
        <v>0.99944429009488278</v>
      </c>
    </row>
    <row r="7" spans="2:59" x14ac:dyDescent="0.25">
      <c r="B7" s="6">
        <f t="shared" ref="B7:B70" si="2">DAYS360("31-12-2009",D7)</f>
        <v>97</v>
      </c>
      <c r="C7" s="10">
        <v>1</v>
      </c>
      <c r="D7" s="5">
        <v>40275</v>
      </c>
      <c r="E7" s="6" t="s">
        <v>342</v>
      </c>
      <c r="F7" s="34">
        <v>120</v>
      </c>
      <c r="G7" s="31"/>
      <c r="H7" s="31"/>
      <c r="I7" s="31"/>
      <c r="J7" s="31"/>
      <c r="K7" s="31"/>
      <c r="L7" s="6">
        <f t="shared" si="0"/>
        <v>-201.03896103896102</v>
      </c>
      <c r="M7" s="6">
        <f t="shared" si="1"/>
        <v>22.910515890846693</v>
      </c>
      <c r="N7" s="31"/>
      <c r="O7" s="31"/>
      <c r="P7" s="31"/>
      <c r="Q7" s="31"/>
      <c r="R7" s="31"/>
      <c r="T7" s="6">
        <f t="shared" ref="T7" si="3">DAYS360("31-12-2009",U7)</f>
        <v>285</v>
      </c>
      <c r="U7" s="5">
        <v>40466</v>
      </c>
      <c r="V7" s="6" t="s">
        <v>347</v>
      </c>
      <c r="W7" s="34">
        <v>240</v>
      </c>
      <c r="X7" s="6">
        <f>COUNT(W6:W7)</f>
        <v>2</v>
      </c>
      <c r="Y7" s="6">
        <f>SUM(W6:W7)</f>
        <v>300</v>
      </c>
      <c r="Z7" s="6">
        <f>($F$86-Y7)/X7</f>
        <v>259050</v>
      </c>
      <c r="AA7" s="6">
        <f>INT(Z7/60/24)</f>
        <v>179</v>
      </c>
      <c r="AB7" s="6">
        <f>Y7/X7</f>
        <v>150</v>
      </c>
      <c r="AC7" s="6">
        <f>Y7-W8</f>
        <v>150</v>
      </c>
      <c r="AD7" s="33">
        <f>SQRT((AC7*AC7)/COUNT(W6:W7))</f>
        <v>106.06601717798213</v>
      </c>
      <c r="AE7" s="6">
        <f>1/AA7</f>
        <v>5.5865921787709499E-3</v>
      </c>
      <c r="AF7" s="6">
        <f>AE7*EXP(-AE7*(365*1))</f>
        <v>7.2706698111458005E-4</v>
      </c>
      <c r="AG7" s="6">
        <f>1-EXP(-AE7*(365*1))</f>
        <v>0.86985501038049018</v>
      </c>
      <c r="AH7" s="6">
        <f>EXP(-AE7*(365*1))</f>
        <v>0.13014498961950982</v>
      </c>
      <c r="AI7" s="6">
        <f>$F$86/(Y7+$F$86)*100</f>
        <v>99.94216310005784</v>
      </c>
      <c r="AJ7">
        <f>AJ6+5</f>
        <v>6</v>
      </c>
      <c r="AK7" s="6">
        <f t="shared" ref="AK7:AK70" si="4">EXP(-$AE$7*(AJ7))</f>
        <v>0.96703600252135291</v>
      </c>
      <c r="AL7" s="6">
        <f t="shared" ref="AL7:AL70" si="5">EXP(-$AE$12*(AJ7))</f>
        <v>0.93480649312498687</v>
      </c>
      <c r="AM7" s="6">
        <f t="shared" ref="AM7:AM70" si="6">EXP(-$AE$16*(AJ7))</f>
        <v>0.95082983222576778</v>
      </c>
      <c r="AN7" s="6">
        <f t="shared" ref="AN7:AN70" si="7">EXP(-$AE$27*(AJ7))</f>
        <v>0.84246044161677136</v>
      </c>
      <c r="AO7" s="6">
        <f t="shared" ref="AO7:AO70" si="8">EXP(-$AE$34*(AJ7))</f>
        <v>0.90330509423984429</v>
      </c>
      <c r="AP7" s="6">
        <f t="shared" ref="AP7:AP70" si="9">EXP(-$AE$37*(AJ7))</f>
        <v>0.96703600252135291</v>
      </c>
      <c r="AQ7" s="6">
        <f t="shared" ref="AQ7:AQ70" si="10">EXP(-$AE$39*(AJ7))</f>
        <v>0.98342579696807908</v>
      </c>
      <c r="AR7" s="6">
        <f t="shared" ref="AR7:AR70" si="11">EXP(-$AE$41*(AJ7))</f>
        <v>0.98342579696807908</v>
      </c>
      <c r="AS7" s="6">
        <f t="shared" ref="AS7:AS70" si="12">EXP(-$AE$45*(AJ7))</f>
        <v>0.95082983222576778</v>
      </c>
      <c r="AT7" s="6">
        <f t="shared" ref="AT7:AT70" si="13">EXP(-$AE$51*(AJ7))</f>
        <v>0.91896518376824321</v>
      </c>
      <c r="AU7" s="6">
        <f t="shared" ref="AU7:AU70" si="14">EXP(-$AE$56*(AJ7))</f>
        <v>0.93480649312498687</v>
      </c>
      <c r="AV7" s="6">
        <f t="shared" ref="AV7:AV70" si="15">EXP(-$AE$64*(AJ7))</f>
        <v>0.88900976540277565</v>
      </c>
      <c r="AW7" s="6">
        <f t="shared" ref="AW7:AW70" si="16">EXP(-$AE$66*(AJ7))</f>
        <v>0.98342579696807908</v>
      </c>
      <c r="AX7" s="6">
        <f t="shared" ref="AX7:AX70" si="17">EXP(-$AE$71*(AJ7))</f>
        <v>0.93480649312498687</v>
      </c>
      <c r="AY7" s="6">
        <f t="shared" ref="AY7:AY70" si="18">EXP(-$AE$73*(AJ7))</f>
        <v>0.98342579696807908</v>
      </c>
      <c r="AZ7" s="6">
        <f t="shared" ref="AZ7:AZ70" si="19">EXP(-$AE$77*(AJ7))</f>
        <v>0.95082983222576778</v>
      </c>
      <c r="BA7" s="6">
        <f t="shared" ref="BA7:BA70" si="20">EXP(-$AE$85*(AJ7))</f>
        <v>0.88692043671715748</v>
      </c>
      <c r="BB7" s="6">
        <f t="shared" ref="BB7:BB70" si="21">EXP(-$AE$89*(AJ7))</f>
        <v>0.99003330550927482</v>
      </c>
      <c r="BC7" s="6">
        <f t="shared" ref="BC7:BC70" si="22">EXP(-$AE$91*(AJ7))</f>
        <v>0.98342579696807908</v>
      </c>
      <c r="BD7" s="6">
        <f t="shared" ref="BD7:BD70" si="23">EXP(-$AE$94*(AJ7))</f>
        <v>0.99334813990855253</v>
      </c>
      <c r="BE7" s="6">
        <f t="shared" ref="BE7:BE70" si="24">EXP(-$AE$96*(AJ7))</f>
        <v>0.98342579696807908</v>
      </c>
      <c r="BF7" s="6">
        <f t="shared" ref="BF7:BF70" si="25">EXP(-$AE$102*(AJ7))</f>
        <v>0.98337988718569636</v>
      </c>
      <c r="BG7" s="6">
        <f t="shared" ref="BG7:BG70" si="26">EXP(-$AE$104*(AJ7))</f>
        <v>0.99667036934099229</v>
      </c>
    </row>
    <row r="8" spans="2:59" x14ac:dyDescent="0.25">
      <c r="B8" s="6">
        <f t="shared" si="2"/>
        <v>240</v>
      </c>
      <c r="C8" s="10">
        <v>1</v>
      </c>
      <c r="D8" s="5">
        <v>40420</v>
      </c>
      <c r="E8" s="6" t="s">
        <v>342</v>
      </c>
      <c r="F8" s="34">
        <v>60</v>
      </c>
      <c r="G8" s="31"/>
      <c r="H8" s="31"/>
      <c r="I8" s="31"/>
      <c r="J8" s="31"/>
      <c r="K8" s="31"/>
      <c r="L8" s="6">
        <f t="shared" si="0"/>
        <v>-261.03896103896102</v>
      </c>
      <c r="M8" s="6">
        <f t="shared" si="1"/>
        <v>29.748150478424972</v>
      </c>
      <c r="N8" s="31"/>
      <c r="O8" s="31"/>
      <c r="P8" s="31"/>
      <c r="Q8" s="31"/>
      <c r="R8" s="31"/>
      <c r="T8" s="31"/>
      <c r="U8" s="31"/>
      <c r="V8" s="43" t="s">
        <v>235</v>
      </c>
      <c r="W8" s="6">
        <f>AVERAGE(W6:W7)</f>
        <v>150</v>
      </c>
      <c r="X8" s="31"/>
      <c r="Y8" s="31"/>
      <c r="Z8" s="31"/>
      <c r="AA8" s="31"/>
      <c r="AB8" s="31"/>
      <c r="AC8" s="31"/>
      <c r="AD8" s="31"/>
      <c r="AE8" s="31"/>
      <c r="AF8" s="31"/>
      <c r="AG8" s="31"/>
      <c r="AH8" s="31"/>
      <c r="AI8" s="31"/>
      <c r="AJ8">
        <f t="shared" ref="AJ8:AJ71" si="27">AJ7+5</f>
        <v>11</v>
      </c>
      <c r="AK8" s="6">
        <f t="shared" si="4"/>
        <v>0.94039760043115894</v>
      </c>
      <c r="AL8" s="6">
        <f t="shared" si="5"/>
        <v>0.88373723534273252</v>
      </c>
      <c r="AM8" s="6">
        <f t="shared" si="6"/>
        <v>0.91170666965815983</v>
      </c>
      <c r="AN8" s="6">
        <f t="shared" si="7"/>
        <v>0.73031033825135727</v>
      </c>
      <c r="AO8" s="6">
        <f t="shared" si="8"/>
        <v>0.82990779230929679</v>
      </c>
      <c r="AP8" s="6">
        <f t="shared" si="9"/>
        <v>0.94039760043115894</v>
      </c>
      <c r="AQ8" s="6">
        <f t="shared" si="10"/>
        <v>0.96982399876136749</v>
      </c>
      <c r="AR8" s="6">
        <f t="shared" si="11"/>
        <v>0.96982399876136749</v>
      </c>
      <c r="AS8" s="6">
        <f t="shared" si="12"/>
        <v>0.91170666965815983</v>
      </c>
      <c r="AT8" s="6">
        <f t="shared" si="13"/>
        <v>0.85647549053527938</v>
      </c>
      <c r="AU8" s="6">
        <f t="shared" si="14"/>
        <v>0.88373723534273252</v>
      </c>
      <c r="AV8" s="6">
        <f t="shared" si="15"/>
        <v>0.80598812123189312</v>
      </c>
      <c r="AW8" s="6">
        <f t="shared" si="16"/>
        <v>0.96982399876136749</v>
      </c>
      <c r="AX8" s="6">
        <f t="shared" si="17"/>
        <v>0.88373723534273252</v>
      </c>
      <c r="AY8" s="6">
        <f t="shared" si="18"/>
        <v>0.96982399876136749</v>
      </c>
      <c r="AZ8" s="6">
        <f t="shared" si="19"/>
        <v>0.91170666965815983</v>
      </c>
      <c r="BA8" s="6">
        <f t="shared" si="20"/>
        <v>0.80251879796247849</v>
      </c>
      <c r="BB8" s="6">
        <f t="shared" si="21"/>
        <v>0.98180364980739387</v>
      </c>
      <c r="BC8" s="6">
        <f t="shared" si="22"/>
        <v>0.96982399876136749</v>
      </c>
      <c r="BD8" s="6">
        <f t="shared" si="23"/>
        <v>0.98783873565773428</v>
      </c>
      <c r="BE8" s="6">
        <f t="shared" si="24"/>
        <v>0.96982399876136749</v>
      </c>
      <c r="BF8" s="6">
        <f t="shared" si="25"/>
        <v>0.96974099657133139</v>
      </c>
      <c r="BG8" s="6">
        <f t="shared" si="26"/>
        <v>0.99390414750181377</v>
      </c>
    </row>
    <row r="9" spans="2:59" x14ac:dyDescent="0.25">
      <c r="B9" s="6">
        <f t="shared" si="2"/>
        <v>268</v>
      </c>
      <c r="C9" s="10">
        <v>1</v>
      </c>
      <c r="D9" s="5">
        <v>40449</v>
      </c>
      <c r="E9" s="6" t="s">
        <v>342</v>
      </c>
      <c r="F9" s="34">
        <v>120</v>
      </c>
      <c r="G9" s="31"/>
      <c r="H9" s="31"/>
      <c r="I9" s="31"/>
      <c r="J9" s="31"/>
      <c r="K9" s="31"/>
      <c r="L9" s="6">
        <f t="shared" si="0"/>
        <v>-201.03896103896102</v>
      </c>
      <c r="M9" s="6">
        <f t="shared" si="1"/>
        <v>22.910515890846693</v>
      </c>
      <c r="N9" s="31"/>
      <c r="O9" s="31"/>
      <c r="P9" s="31"/>
      <c r="Q9" s="31"/>
      <c r="R9" s="31"/>
      <c r="T9" s="6">
        <f>DAYS360("31-12-2009",U9)</f>
        <v>434</v>
      </c>
      <c r="U9" s="5">
        <v>40616</v>
      </c>
      <c r="V9" s="6" t="s">
        <v>347</v>
      </c>
      <c r="W9" s="33">
        <v>120</v>
      </c>
      <c r="X9" s="31"/>
      <c r="Y9" s="31"/>
      <c r="Z9" s="31"/>
      <c r="AA9" s="31"/>
      <c r="AB9" s="31"/>
      <c r="AC9" s="31"/>
      <c r="AD9" s="31"/>
      <c r="AE9" s="31"/>
      <c r="AF9" s="31"/>
      <c r="AG9" s="31"/>
      <c r="AH9" s="31"/>
      <c r="AI9" s="31"/>
      <c r="AJ9">
        <f t="shared" si="27"/>
        <v>16</v>
      </c>
      <c r="AK9" s="6">
        <f t="shared" si="4"/>
        <v>0.91449299156486641</v>
      </c>
      <c r="AL9" s="6">
        <f t="shared" si="5"/>
        <v>0.83545793367397481</v>
      </c>
      <c r="AM9" s="6">
        <f t="shared" si="6"/>
        <v>0.87419328183406031</v>
      </c>
      <c r="AN9" s="6">
        <f t="shared" si="7"/>
        <v>0.63308989218918132</v>
      </c>
      <c r="AO9" s="6">
        <f t="shared" si="8"/>
        <v>0.76247432692194672</v>
      </c>
      <c r="AP9" s="6">
        <f t="shared" si="9"/>
        <v>0.91449299156486641</v>
      </c>
      <c r="AQ9" s="6">
        <f t="shared" si="10"/>
        <v>0.95641032752369259</v>
      </c>
      <c r="AR9" s="6">
        <f t="shared" si="11"/>
        <v>0.95641032752369259</v>
      </c>
      <c r="AS9" s="6">
        <f t="shared" si="12"/>
        <v>0.87419328183406031</v>
      </c>
      <c r="AT9" s="6">
        <f t="shared" si="13"/>
        <v>0.79823510057225833</v>
      </c>
      <c r="AU9" s="6">
        <f t="shared" si="14"/>
        <v>0.83545793367397481</v>
      </c>
      <c r="AV9" s="6">
        <f t="shared" si="15"/>
        <v>0.73071959032148637</v>
      </c>
      <c r="AW9" s="6">
        <f t="shared" si="16"/>
        <v>0.95641032752369259</v>
      </c>
      <c r="AX9" s="6">
        <f t="shared" si="17"/>
        <v>0.83545793367397481</v>
      </c>
      <c r="AY9" s="6">
        <f t="shared" si="18"/>
        <v>0.95641032752369259</v>
      </c>
      <c r="AZ9" s="6">
        <f t="shared" si="19"/>
        <v>0.87419328183406031</v>
      </c>
      <c r="BA9" s="6">
        <f t="shared" si="20"/>
        <v>0.72614903707369094</v>
      </c>
      <c r="BB9" s="6">
        <f t="shared" si="21"/>
        <v>0.97364240315053663</v>
      </c>
      <c r="BC9" s="6">
        <f t="shared" si="22"/>
        <v>0.95641032752369259</v>
      </c>
      <c r="BD9" s="6">
        <f t="shared" si="23"/>
        <v>0.98235988820163822</v>
      </c>
      <c r="BE9" s="6">
        <f t="shared" si="24"/>
        <v>0.95641032752369259</v>
      </c>
      <c r="BF9" s="6">
        <f t="shared" si="25"/>
        <v>0.95629126920874186</v>
      </c>
      <c r="BG9" s="6">
        <f t="shared" si="26"/>
        <v>0.99114560320929357</v>
      </c>
    </row>
    <row r="10" spans="2:59" x14ac:dyDescent="0.25">
      <c r="B10" s="6">
        <f t="shared" si="2"/>
        <v>285</v>
      </c>
      <c r="C10" s="10">
        <v>1</v>
      </c>
      <c r="D10" s="5">
        <v>40466</v>
      </c>
      <c r="E10" s="6" t="s">
        <v>342</v>
      </c>
      <c r="F10" s="34">
        <v>240</v>
      </c>
      <c r="G10" s="31"/>
      <c r="H10" s="31"/>
      <c r="I10" s="31"/>
      <c r="J10" s="31"/>
      <c r="K10" s="31"/>
      <c r="L10" s="6">
        <f t="shared" si="0"/>
        <v>-81.03896103896102</v>
      </c>
      <c r="M10" s="6">
        <f t="shared" si="1"/>
        <v>9.2352467156901383</v>
      </c>
      <c r="N10" s="31"/>
      <c r="O10" s="31"/>
      <c r="P10" s="31"/>
      <c r="Q10" s="31"/>
      <c r="R10" s="31"/>
      <c r="T10" s="6">
        <f>DAYS360("31-12-2009",U10)</f>
        <v>533</v>
      </c>
      <c r="U10" s="5">
        <v>40717</v>
      </c>
      <c r="V10" s="6" t="s">
        <v>347</v>
      </c>
      <c r="W10" s="33">
        <v>30</v>
      </c>
      <c r="X10" s="31"/>
      <c r="Y10" s="31"/>
      <c r="Z10" s="31"/>
      <c r="AA10" s="31"/>
      <c r="AB10" s="31"/>
      <c r="AC10" s="31"/>
      <c r="AD10" s="31"/>
      <c r="AE10" s="31"/>
      <c r="AF10" s="31"/>
      <c r="AG10" s="31"/>
      <c r="AH10" s="31"/>
      <c r="AI10" s="31"/>
      <c r="AJ10">
        <f t="shared" si="27"/>
        <v>21</v>
      </c>
      <c r="AK10" s="6">
        <f t="shared" si="4"/>
        <v>0.88930196252928373</v>
      </c>
      <c r="AL10" s="6">
        <f t="shared" si="5"/>
        <v>0.78981617049109842</v>
      </c>
      <c r="AM10" s="6">
        <f t="shared" si="6"/>
        <v>0.8382234324229999</v>
      </c>
      <c r="AN10" s="6">
        <f t="shared" si="7"/>
        <v>0.54881163609402639</v>
      </c>
      <c r="AO10" s="6">
        <f t="shared" si="8"/>
        <v>0.70052011151427662</v>
      </c>
      <c r="AP10" s="6">
        <f t="shared" si="9"/>
        <v>0.88930196252928373</v>
      </c>
      <c r="AQ10" s="6">
        <f t="shared" si="10"/>
        <v>0.94318218126405728</v>
      </c>
      <c r="AR10" s="6">
        <f t="shared" si="11"/>
        <v>0.94318218126405728</v>
      </c>
      <c r="AS10" s="6">
        <f t="shared" si="12"/>
        <v>0.8382234324229999</v>
      </c>
      <c r="AT10" s="6">
        <f t="shared" si="13"/>
        <v>0.74395506097597675</v>
      </c>
      <c r="AU10" s="6">
        <f t="shared" si="14"/>
        <v>0.78981617049109842</v>
      </c>
      <c r="AV10" s="6">
        <f t="shared" si="15"/>
        <v>0.66248013539392625</v>
      </c>
      <c r="AW10" s="6">
        <f t="shared" si="16"/>
        <v>0.94318218126405728</v>
      </c>
      <c r="AX10" s="6">
        <f t="shared" si="17"/>
        <v>0.78981617049109842</v>
      </c>
      <c r="AY10" s="6">
        <f t="shared" si="18"/>
        <v>0.94318218126405728</v>
      </c>
      <c r="AZ10" s="6">
        <f t="shared" si="19"/>
        <v>0.8382234324229999</v>
      </c>
      <c r="BA10" s="6">
        <f t="shared" si="20"/>
        <v>0.65704681981505675</v>
      </c>
      <c r="BB10" s="6">
        <f t="shared" si="21"/>
        <v>0.96554899688825024</v>
      </c>
      <c r="BC10" s="6">
        <f t="shared" si="22"/>
        <v>0.94318218126405728</v>
      </c>
      <c r="BD10" s="6">
        <f t="shared" si="23"/>
        <v>0.97691142806319187</v>
      </c>
      <c r="BE10" s="6">
        <f t="shared" si="24"/>
        <v>0.94318218126405728</v>
      </c>
      <c r="BF10" s="6">
        <f t="shared" si="25"/>
        <v>0.9430280815168145</v>
      </c>
      <c r="BG10" s="6">
        <f t="shared" si="26"/>
        <v>0.98839471515468424</v>
      </c>
    </row>
    <row r="11" spans="2:59" x14ac:dyDescent="0.25">
      <c r="B11" s="6">
        <f t="shared" si="2"/>
        <v>289</v>
      </c>
      <c r="C11" s="10">
        <v>1</v>
      </c>
      <c r="D11" s="5">
        <v>40470</v>
      </c>
      <c r="E11" s="6" t="s">
        <v>342</v>
      </c>
      <c r="F11" s="34">
        <v>120</v>
      </c>
      <c r="G11" s="31"/>
      <c r="H11" s="31"/>
      <c r="I11" s="31"/>
      <c r="J11" s="31"/>
      <c r="K11" s="31"/>
      <c r="L11" s="6">
        <f t="shared" si="0"/>
        <v>-201.03896103896102</v>
      </c>
      <c r="M11" s="6">
        <f t="shared" si="1"/>
        <v>22.910515890846693</v>
      </c>
      <c r="N11" s="31"/>
      <c r="O11" s="31"/>
      <c r="P11" s="31"/>
      <c r="Q11" s="31"/>
      <c r="R11" s="31"/>
      <c r="T11" s="6">
        <f>DAYS360("31-12-2009",U11)</f>
        <v>657</v>
      </c>
      <c r="U11" s="5">
        <v>40843</v>
      </c>
      <c r="V11" s="6" t="s">
        <v>347</v>
      </c>
      <c r="W11" s="33">
        <v>180</v>
      </c>
      <c r="X11" s="31"/>
      <c r="Y11" s="31"/>
      <c r="Z11" s="31"/>
      <c r="AA11" s="31"/>
      <c r="AB11" s="31"/>
      <c r="AC11" s="31"/>
      <c r="AD11" s="31"/>
      <c r="AE11" s="31"/>
      <c r="AF11" s="31"/>
      <c r="AG11" s="31"/>
      <c r="AH11" s="31"/>
      <c r="AI11" s="31"/>
      <c r="AJ11">
        <f t="shared" si="27"/>
        <v>26</v>
      </c>
      <c r="AK11" s="6">
        <f t="shared" si="4"/>
        <v>0.8648048567383021</v>
      </c>
      <c r="AL11" s="6">
        <f t="shared" si="5"/>
        <v>0.74666785486850906</v>
      </c>
      <c r="AM11" s="6">
        <f t="shared" si="6"/>
        <v>0.80373361047673531</v>
      </c>
      <c r="AN11" s="6">
        <f t="shared" si="7"/>
        <v>0.47575267845565061</v>
      </c>
      <c r="AO11" s="6">
        <f t="shared" si="8"/>
        <v>0.64359993419976425</v>
      </c>
      <c r="AP11" s="6">
        <f t="shared" si="9"/>
        <v>0.8648048567383021</v>
      </c>
      <c r="AQ11" s="6">
        <f t="shared" si="10"/>
        <v>0.93013699397969707</v>
      </c>
      <c r="AR11" s="6">
        <f t="shared" si="11"/>
        <v>0.93013699397969707</v>
      </c>
      <c r="AS11" s="6">
        <f t="shared" si="12"/>
        <v>0.80373361047673531</v>
      </c>
      <c r="AT11" s="6">
        <f t="shared" si="13"/>
        <v>0.69336606765974684</v>
      </c>
      <c r="AU11" s="6">
        <f t="shared" si="14"/>
        <v>0.74666785486850906</v>
      </c>
      <c r="AV11" s="6">
        <f t="shared" si="15"/>
        <v>0.60061333458771227</v>
      </c>
      <c r="AW11" s="6">
        <f t="shared" si="16"/>
        <v>0.93013699397969707</v>
      </c>
      <c r="AX11" s="6">
        <f t="shared" si="17"/>
        <v>0.74666785486850906</v>
      </c>
      <c r="AY11" s="6">
        <f t="shared" si="18"/>
        <v>0.93013699397969707</v>
      </c>
      <c r="AZ11" s="6">
        <f t="shared" si="19"/>
        <v>0.80373361047673531</v>
      </c>
      <c r="BA11" s="6">
        <f t="shared" si="20"/>
        <v>0.59452054797019438</v>
      </c>
      <c r="BB11" s="6">
        <f t="shared" si="21"/>
        <v>0.95752286709699108</v>
      </c>
      <c r="BC11" s="6">
        <f t="shared" si="22"/>
        <v>0.93013699397969707</v>
      </c>
      <c r="BD11" s="6">
        <f t="shared" si="23"/>
        <v>0.97149318670529305</v>
      </c>
      <c r="BE11" s="6">
        <f t="shared" si="24"/>
        <v>0.93013699397969707</v>
      </c>
      <c r="BF11" s="6">
        <f t="shared" si="25"/>
        <v>0.92994884630193619</v>
      </c>
      <c r="BG11" s="6">
        <f t="shared" si="26"/>
        <v>0.98565146208837973</v>
      </c>
    </row>
    <row r="12" spans="2:59" x14ac:dyDescent="0.25">
      <c r="B12" s="6">
        <f t="shared" si="2"/>
        <v>309</v>
      </c>
      <c r="C12" s="10">
        <v>1</v>
      </c>
      <c r="D12" s="5">
        <v>40491</v>
      </c>
      <c r="E12" s="6" t="s">
        <v>342</v>
      </c>
      <c r="F12" s="34">
        <v>120</v>
      </c>
      <c r="G12" s="31"/>
      <c r="H12" s="31"/>
      <c r="I12" s="31"/>
      <c r="J12" s="31"/>
      <c r="K12" s="31"/>
      <c r="L12" s="6">
        <f t="shared" si="0"/>
        <v>-201.03896103896102</v>
      </c>
      <c r="M12" s="6">
        <f t="shared" si="1"/>
        <v>22.910515890846693</v>
      </c>
      <c r="N12" s="31"/>
      <c r="O12" s="31"/>
      <c r="P12" s="31"/>
      <c r="Q12" s="31"/>
      <c r="R12" s="31"/>
      <c r="T12" s="6">
        <f>DAYS360("31-12-2009",U12)</f>
        <v>692</v>
      </c>
      <c r="U12" s="5">
        <v>40879</v>
      </c>
      <c r="V12" s="6" t="s">
        <v>347</v>
      </c>
      <c r="W12" s="33">
        <v>30</v>
      </c>
      <c r="X12" s="33">
        <f>COUNT(W9:W12)</f>
        <v>4</v>
      </c>
      <c r="Y12" s="33">
        <f>SUM(W9:W12)</f>
        <v>360</v>
      </c>
      <c r="Z12" s="6">
        <f>($F$86-Y12)/X12</f>
        <v>129510</v>
      </c>
      <c r="AA12" s="6">
        <f>INT(Z12/60/24)</f>
        <v>89</v>
      </c>
      <c r="AB12" s="6">
        <f>Y12/X12</f>
        <v>90</v>
      </c>
      <c r="AC12" s="6">
        <f>Y12-W13</f>
        <v>270</v>
      </c>
      <c r="AD12" s="33">
        <f>SQRT((AC12*AC12)/COUNT(W9:W12))</f>
        <v>135</v>
      </c>
      <c r="AE12" s="6">
        <f>1/AA12</f>
        <v>1.1235955056179775E-2</v>
      </c>
      <c r="AF12" s="6">
        <f>AE12*EXP(-AE12*(365*1))</f>
        <v>1.8600072893790504E-4</v>
      </c>
      <c r="AG12" s="6">
        <f>1-EXP(-AE12*(365*1))</f>
        <v>0.98344593512452649</v>
      </c>
      <c r="AH12" s="6">
        <f>EXP(-AE12*(365*1))</f>
        <v>1.6554064875473548E-2</v>
      </c>
      <c r="AI12" s="6">
        <f>$F$86/(Y12+$F$86)*100</f>
        <v>99.93060374739764</v>
      </c>
      <c r="AJ12">
        <f t="shared" si="27"/>
        <v>31</v>
      </c>
      <c r="AK12" s="6">
        <f t="shared" si="4"/>
        <v>0.84098255907484076</v>
      </c>
      <c r="AL12" s="6">
        <f t="shared" si="5"/>
        <v>0.70587676768796215</v>
      </c>
      <c r="AM12" s="6">
        <f t="shared" si="6"/>
        <v>0.77066291828975986</v>
      </c>
      <c r="AN12" s="6">
        <f t="shared" si="7"/>
        <v>0.41241948270015788</v>
      </c>
      <c r="AO12" s="6">
        <f t="shared" si="8"/>
        <v>0.59130475841234875</v>
      </c>
      <c r="AP12" s="6">
        <f t="shared" si="9"/>
        <v>0.84098255907484076</v>
      </c>
      <c r="AQ12" s="6">
        <f t="shared" si="10"/>
        <v>0.9172722351583259</v>
      </c>
      <c r="AR12" s="6">
        <f t="shared" si="11"/>
        <v>0.9172722351583259</v>
      </c>
      <c r="AS12" s="6">
        <f t="shared" si="12"/>
        <v>0.77066291828975986</v>
      </c>
      <c r="AT12" s="6">
        <f t="shared" si="13"/>
        <v>0.64621712923257457</v>
      </c>
      <c r="AU12" s="6">
        <f t="shared" si="14"/>
        <v>0.70587676768796215</v>
      </c>
      <c r="AV12" s="6">
        <f t="shared" si="15"/>
        <v>0.54452406708024359</v>
      </c>
      <c r="AW12" s="6">
        <f t="shared" si="16"/>
        <v>0.9172722351583259</v>
      </c>
      <c r="AX12" s="6">
        <f t="shared" si="17"/>
        <v>0.70587676768796215</v>
      </c>
      <c r="AY12" s="6">
        <f t="shared" si="18"/>
        <v>0.9172722351583259</v>
      </c>
      <c r="AZ12" s="6">
        <f t="shared" si="19"/>
        <v>0.77066291828975986</v>
      </c>
      <c r="BA12" s="6">
        <f t="shared" si="20"/>
        <v>0.53794443759467447</v>
      </c>
      <c r="BB12" s="6">
        <f t="shared" si="21"/>
        <v>0.94956345454083202</v>
      </c>
      <c r="BC12" s="6">
        <f t="shared" si="22"/>
        <v>0.9172722351583259</v>
      </c>
      <c r="BD12" s="6">
        <f t="shared" si="23"/>
        <v>0.96610499652559645</v>
      </c>
      <c r="BE12" s="6">
        <f t="shared" si="24"/>
        <v>0.9172722351583259</v>
      </c>
      <c r="BF12" s="6">
        <f t="shared" si="25"/>
        <v>0.91705101225332097</v>
      </c>
      <c r="BG12" s="6">
        <f t="shared" si="26"/>
        <v>0.98291582281975187</v>
      </c>
    </row>
    <row r="13" spans="2:59" x14ac:dyDescent="0.25">
      <c r="B13" s="6">
        <f t="shared" si="2"/>
        <v>380</v>
      </c>
      <c r="C13" s="14">
        <v>1</v>
      </c>
      <c r="D13" s="5">
        <v>40563</v>
      </c>
      <c r="E13" s="6" t="s">
        <v>342</v>
      </c>
      <c r="F13" s="33">
        <v>60</v>
      </c>
      <c r="G13" s="31"/>
      <c r="H13" s="31"/>
      <c r="I13" s="31"/>
      <c r="J13" s="31"/>
      <c r="K13" s="31"/>
      <c r="L13" s="6">
        <f t="shared" si="0"/>
        <v>-261.03896103896102</v>
      </c>
      <c r="M13" s="6">
        <f t="shared" ref="M13:M26" si="28">SQRT((L13*L13)/COUNT($B$6:$B$35))</f>
        <v>47.658975782917047</v>
      </c>
      <c r="N13" s="31"/>
      <c r="O13" s="31"/>
      <c r="P13" s="31"/>
      <c r="Q13" s="31"/>
      <c r="R13" s="31"/>
      <c r="T13" s="31"/>
      <c r="U13" s="31"/>
      <c r="V13" s="43" t="s">
        <v>235</v>
      </c>
      <c r="W13" s="6">
        <f>AVERAGE(W9:W12)</f>
        <v>90</v>
      </c>
      <c r="X13" s="31"/>
      <c r="Y13" s="31"/>
      <c r="Z13" s="31"/>
      <c r="AA13" s="31"/>
      <c r="AB13" s="31"/>
      <c r="AC13" s="31"/>
      <c r="AD13" s="31"/>
      <c r="AE13" s="31"/>
      <c r="AF13" s="31"/>
      <c r="AG13" s="31"/>
      <c r="AH13" s="31"/>
      <c r="AI13" s="31"/>
      <c r="AJ13">
        <f t="shared" si="27"/>
        <v>36</v>
      </c>
      <c r="AK13" s="6">
        <f t="shared" si="4"/>
        <v>0.81781648097530157</v>
      </c>
      <c r="AL13" s="6">
        <f t="shared" si="5"/>
        <v>0.66731413159516684</v>
      </c>
      <c r="AM13" s="6">
        <f t="shared" si="6"/>
        <v>0.73895296387394338</v>
      </c>
      <c r="AN13" s="6">
        <f t="shared" si="7"/>
        <v>0.35751733497916927</v>
      </c>
      <c r="AO13" s="6">
        <f t="shared" si="8"/>
        <v>0.54325878351094181</v>
      </c>
      <c r="AP13" s="6">
        <f t="shared" si="9"/>
        <v>0.81781648097530157</v>
      </c>
      <c r="AQ13" s="6">
        <f t="shared" si="10"/>
        <v>0.9045854092872655</v>
      </c>
      <c r="AR13" s="6">
        <f t="shared" si="11"/>
        <v>0.9045854092872655</v>
      </c>
      <c r="AS13" s="6">
        <f t="shared" si="12"/>
        <v>0.73895296387394338</v>
      </c>
      <c r="AT13" s="6">
        <f t="shared" si="13"/>
        <v>0.60227432173464202</v>
      </c>
      <c r="AU13" s="6">
        <f t="shared" si="14"/>
        <v>0.66731413159516684</v>
      </c>
      <c r="AV13" s="6">
        <f t="shared" si="15"/>
        <v>0.49367278838913037</v>
      </c>
      <c r="AW13" s="6">
        <f t="shared" si="16"/>
        <v>0.9045854092872655</v>
      </c>
      <c r="AX13" s="6">
        <f t="shared" si="17"/>
        <v>0.66731413159516684</v>
      </c>
      <c r="AY13" s="6">
        <f t="shared" si="18"/>
        <v>0.9045854092872655</v>
      </c>
      <c r="AZ13" s="6">
        <f t="shared" si="19"/>
        <v>0.73895296387394338</v>
      </c>
      <c r="BA13" s="6">
        <f t="shared" si="20"/>
        <v>0.48675225595997168</v>
      </c>
      <c r="BB13" s="6">
        <f t="shared" si="21"/>
        <v>0.94167020463249707</v>
      </c>
      <c r="BC13" s="6">
        <f t="shared" si="22"/>
        <v>0.9045854092872655</v>
      </c>
      <c r="BD13" s="6">
        <f t="shared" si="23"/>
        <v>0.96074669085132902</v>
      </c>
      <c r="BE13" s="6">
        <f t="shared" si="24"/>
        <v>0.9045854092872655</v>
      </c>
      <c r="BF13" s="6">
        <f t="shared" si="25"/>
        <v>0.90433206344533723</v>
      </c>
      <c r="BG13" s="6">
        <f t="shared" si="26"/>
        <v>0.98018777621698594</v>
      </c>
    </row>
    <row r="14" spans="2:59" x14ac:dyDescent="0.25">
      <c r="B14" s="6">
        <f t="shared" si="2"/>
        <v>381</v>
      </c>
      <c r="C14" s="14">
        <v>1</v>
      </c>
      <c r="D14" s="5">
        <v>40564</v>
      </c>
      <c r="E14" s="6" t="s">
        <v>342</v>
      </c>
      <c r="F14" s="33">
        <v>60</v>
      </c>
      <c r="G14" s="31"/>
      <c r="H14" s="31"/>
      <c r="I14" s="31"/>
      <c r="J14" s="31"/>
      <c r="K14" s="31"/>
      <c r="L14" s="6">
        <f t="shared" si="0"/>
        <v>-261.03896103896102</v>
      </c>
      <c r="M14" s="6">
        <f t="shared" si="28"/>
        <v>47.658975782917047</v>
      </c>
      <c r="N14" s="31"/>
      <c r="O14" s="31"/>
      <c r="P14" s="31"/>
      <c r="Q14" s="31"/>
      <c r="R14" s="31"/>
      <c r="T14" s="6">
        <f>DAYS360("31-12-2009",U14)</f>
        <v>728</v>
      </c>
      <c r="U14" s="5">
        <v>40916</v>
      </c>
      <c r="V14" s="6" t="s">
        <v>347</v>
      </c>
      <c r="W14" s="33">
        <v>120</v>
      </c>
      <c r="X14" s="31"/>
      <c r="Y14" s="31"/>
      <c r="Z14" s="31"/>
      <c r="AA14" s="31"/>
      <c r="AB14" s="31"/>
      <c r="AC14" s="31"/>
      <c r="AD14" s="31"/>
      <c r="AE14" s="31"/>
      <c r="AF14" s="31"/>
      <c r="AG14" s="31"/>
      <c r="AH14" s="31"/>
      <c r="AI14" s="31"/>
      <c r="AJ14">
        <f t="shared" si="27"/>
        <v>41</v>
      </c>
      <c r="AK14" s="6">
        <f t="shared" si="4"/>
        <v>0.79528854592489329</v>
      </c>
      <c r="AL14" s="6">
        <f t="shared" si="5"/>
        <v>0.63085820445001994</v>
      </c>
      <c r="AM14" s="6">
        <f t="shared" si="6"/>
        <v>0.70854775785744606</v>
      </c>
      <c r="AN14" s="6">
        <f t="shared" si="7"/>
        <v>0.30992387647102437</v>
      </c>
      <c r="AO14" s="6">
        <f t="shared" si="8"/>
        <v>0.49911674422206859</v>
      </c>
      <c r="AP14" s="6">
        <f t="shared" si="9"/>
        <v>0.79528854592489329</v>
      </c>
      <c r="AQ14" s="6">
        <f t="shared" si="10"/>
        <v>0.89207405536936502</v>
      </c>
      <c r="AR14" s="6">
        <f t="shared" si="11"/>
        <v>0.89207405536936502</v>
      </c>
      <c r="AS14" s="6">
        <f t="shared" si="12"/>
        <v>0.70854775785744606</v>
      </c>
      <c r="AT14" s="6">
        <f t="shared" si="13"/>
        <v>0.56131962805085978</v>
      </c>
      <c r="AU14" s="6">
        <f t="shared" si="14"/>
        <v>0.63085820445001994</v>
      </c>
      <c r="AV14" s="6">
        <f t="shared" si="15"/>
        <v>0.44757034028393899</v>
      </c>
      <c r="AW14" s="6">
        <f t="shared" si="16"/>
        <v>0.89207405536936502</v>
      </c>
      <c r="AX14" s="6">
        <f t="shared" si="17"/>
        <v>0.63085820445001994</v>
      </c>
      <c r="AY14" s="6">
        <f t="shared" si="18"/>
        <v>0.89207405536936502</v>
      </c>
      <c r="AZ14" s="6">
        <f t="shared" si="19"/>
        <v>0.70854775785744606</v>
      </c>
      <c r="BA14" s="6">
        <f t="shared" si="20"/>
        <v>0.44043165450599925</v>
      </c>
      <c r="BB14" s="6">
        <f t="shared" si="21"/>
        <v>0.9338425673947186</v>
      </c>
      <c r="BC14" s="6">
        <f t="shared" si="22"/>
        <v>0.89207405536936502</v>
      </c>
      <c r="BD14" s="6">
        <f t="shared" si="23"/>
        <v>0.95541810393413484</v>
      </c>
      <c r="BE14" s="6">
        <f t="shared" si="24"/>
        <v>0.89207405536936502</v>
      </c>
      <c r="BF14" s="6">
        <f t="shared" si="25"/>
        <v>0.89178951884673618</v>
      </c>
      <c r="BG14" s="6">
        <f t="shared" si="26"/>
        <v>0.97746730120691816</v>
      </c>
    </row>
    <row r="15" spans="2:59" x14ac:dyDescent="0.25">
      <c r="B15" s="6">
        <f t="shared" si="2"/>
        <v>415</v>
      </c>
      <c r="C15" s="14">
        <v>1</v>
      </c>
      <c r="D15" s="5">
        <v>40599</v>
      </c>
      <c r="E15" s="6" t="s">
        <v>342</v>
      </c>
      <c r="F15" s="33">
        <f>8*60</f>
        <v>480</v>
      </c>
      <c r="G15" s="31"/>
      <c r="H15" s="31"/>
      <c r="I15" s="31"/>
      <c r="J15" s="31"/>
      <c r="K15" s="31"/>
      <c r="L15" s="6">
        <f t="shared" si="0"/>
        <v>158.96103896103898</v>
      </c>
      <c r="M15" s="6">
        <f t="shared" si="28"/>
        <v>29.022182267806208</v>
      </c>
      <c r="N15" s="31"/>
      <c r="O15" s="31"/>
      <c r="P15" s="31"/>
      <c r="Q15" s="31"/>
      <c r="R15" s="31"/>
      <c r="T15" s="6">
        <f>DAYS360("31-12-2009",U15)</f>
        <v>756</v>
      </c>
      <c r="U15" s="5">
        <v>40945</v>
      </c>
      <c r="V15" s="30" t="s">
        <v>347</v>
      </c>
      <c r="W15" s="33">
        <v>150</v>
      </c>
      <c r="X15" s="31"/>
      <c r="Y15" s="31"/>
      <c r="Z15" s="31"/>
      <c r="AA15" s="31"/>
      <c r="AB15" s="31"/>
      <c r="AC15" s="31"/>
      <c r="AD15" s="31"/>
      <c r="AE15" s="31"/>
      <c r="AF15" s="31"/>
      <c r="AG15" s="31"/>
      <c r="AH15" s="31"/>
      <c r="AI15" s="31"/>
      <c r="AJ15">
        <f t="shared" si="27"/>
        <v>46</v>
      </c>
      <c r="AK15" s="6">
        <f t="shared" si="4"/>
        <v>0.77338117535250839</v>
      </c>
      <c r="AL15" s="6">
        <f t="shared" si="5"/>
        <v>0.59639389498699125</v>
      </c>
      <c r="AM15" s="6">
        <f t="shared" si="6"/>
        <v>0.67939361462586423</v>
      </c>
      <c r="AN15" s="6">
        <f t="shared" si="7"/>
        <v>0.26866615911763636</v>
      </c>
      <c r="AO15" s="6">
        <f t="shared" si="8"/>
        <v>0.45856142951404361</v>
      </c>
      <c r="AP15" s="6">
        <f t="shared" si="9"/>
        <v>0.77338117535250839</v>
      </c>
      <c r="AQ15" s="6">
        <f t="shared" si="10"/>
        <v>0.87973574644561525</v>
      </c>
      <c r="AR15" s="6">
        <f t="shared" si="11"/>
        <v>0.87973574644561525</v>
      </c>
      <c r="AS15" s="6">
        <f t="shared" si="12"/>
        <v>0.67939361462586423</v>
      </c>
      <c r="AT15" s="6">
        <f t="shared" si="13"/>
        <v>0.52314985624437349</v>
      </c>
      <c r="AU15" s="6">
        <f t="shared" si="14"/>
        <v>0.59639389498699125</v>
      </c>
      <c r="AV15" s="6">
        <f t="shared" si="15"/>
        <v>0.40577324538289578</v>
      </c>
      <c r="AW15" s="6">
        <f t="shared" si="16"/>
        <v>0.87973574644561525</v>
      </c>
      <c r="AX15" s="6">
        <f t="shared" si="17"/>
        <v>0.59639389498699125</v>
      </c>
      <c r="AY15" s="6">
        <f t="shared" si="18"/>
        <v>0.87973574644561525</v>
      </c>
      <c r="AZ15" s="6">
        <f t="shared" si="19"/>
        <v>0.67939361462586423</v>
      </c>
      <c r="BA15" s="6">
        <f t="shared" si="20"/>
        <v>0.39851904108451414</v>
      </c>
      <c r="BB15" s="6">
        <f t="shared" si="21"/>
        <v>0.92607999742191782</v>
      </c>
      <c r="BC15" s="6">
        <f t="shared" si="22"/>
        <v>0.87973574644561525</v>
      </c>
      <c r="BD15" s="6">
        <f t="shared" si="23"/>
        <v>0.9501190709449473</v>
      </c>
      <c r="BE15" s="6">
        <f t="shared" si="24"/>
        <v>0.87973574644561525</v>
      </c>
      <c r="BF15" s="6">
        <f t="shared" si="25"/>
        <v>0.8794209318366879</v>
      </c>
      <c r="BG15" s="6">
        <f t="shared" si="26"/>
        <v>0.9747543767748722</v>
      </c>
    </row>
    <row r="16" spans="2:59" x14ac:dyDescent="0.25">
      <c r="B16" s="6">
        <f t="shared" si="2"/>
        <v>421</v>
      </c>
      <c r="C16" s="14">
        <v>1</v>
      </c>
      <c r="D16" s="5">
        <v>40603</v>
      </c>
      <c r="E16" s="6" t="s">
        <v>342</v>
      </c>
      <c r="F16" s="33">
        <v>240</v>
      </c>
      <c r="G16" s="31"/>
      <c r="H16" s="31"/>
      <c r="I16" s="31"/>
      <c r="J16" s="31"/>
      <c r="K16" s="31"/>
      <c r="L16" s="6">
        <f t="shared" si="0"/>
        <v>-81.03896103896102</v>
      </c>
      <c r="M16" s="6">
        <f t="shared" si="28"/>
        <v>14.795622332607081</v>
      </c>
      <c r="N16" s="31"/>
      <c r="O16" s="31"/>
      <c r="P16" s="31"/>
      <c r="Q16" s="31"/>
      <c r="R16" s="31"/>
      <c r="T16" s="6">
        <f>DAYS360("31-12-2009",U16)</f>
        <v>795</v>
      </c>
      <c r="U16" s="5">
        <v>40983</v>
      </c>
      <c r="V16" s="30" t="s">
        <v>347</v>
      </c>
      <c r="W16" s="33">
        <v>30</v>
      </c>
      <c r="X16" s="33">
        <f>COUNT(W14:W16)</f>
        <v>3</v>
      </c>
      <c r="Y16" s="33">
        <f>SUM(W14:W16)</f>
        <v>300</v>
      </c>
      <c r="Z16" s="6">
        <f>($F$86-Y16)/X16</f>
        <v>172700</v>
      </c>
      <c r="AA16" s="6">
        <f>INT(Z16/60/24)</f>
        <v>119</v>
      </c>
      <c r="AB16" s="6">
        <f>Y16/X16</f>
        <v>100</v>
      </c>
      <c r="AC16" s="6">
        <f>Y16-W17</f>
        <v>200</v>
      </c>
      <c r="AD16" s="33">
        <f>SQRT((AC16*AC16)/COUNT(W14:W16))</f>
        <v>115.47005383792515</v>
      </c>
      <c r="AE16" s="6">
        <f>1/AA16</f>
        <v>8.4033613445378148E-3</v>
      </c>
      <c r="AF16" s="6">
        <f>AE16*EXP(-AE16*(365*1))</f>
        <v>3.9117701217351283E-4</v>
      </c>
      <c r="AG16" s="6">
        <f>1-EXP(-AE16*(365*1))</f>
        <v>0.95344993555135193</v>
      </c>
      <c r="AH16" s="6">
        <f>EXP(-AE16*(365*1))</f>
        <v>4.6550064448648031E-2</v>
      </c>
      <c r="AI16" s="6">
        <f>$F$86/(Y16+$F$86)*100</f>
        <v>99.94216310005784</v>
      </c>
      <c r="AJ16">
        <f t="shared" si="27"/>
        <v>51</v>
      </c>
      <c r="AK16" s="6">
        <f t="shared" si="4"/>
        <v>0.752077274914146</v>
      </c>
      <c r="AL16" s="6">
        <f t="shared" si="5"/>
        <v>0.56381239947230277</v>
      </c>
      <c r="AM16" s="6">
        <f t="shared" si="6"/>
        <v>0.65143905753105558</v>
      </c>
      <c r="AN16" s="6">
        <f t="shared" si="7"/>
        <v>0.2329007557498447</v>
      </c>
      <c r="AO16" s="6">
        <f t="shared" si="8"/>
        <v>0.42130140307295599</v>
      </c>
      <c r="AP16" s="6">
        <f t="shared" si="9"/>
        <v>0.752077274914146</v>
      </c>
      <c r="AQ16" s="6">
        <f t="shared" si="10"/>
        <v>0.867568089124366</v>
      </c>
      <c r="AR16" s="6">
        <f t="shared" si="11"/>
        <v>0.867568089124366</v>
      </c>
      <c r="AS16" s="6">
        <f t="shared" si="12"/>
        <v>0.65143905753105558</v>
      </c>
      <c r="AT16" s="6">
        <f t="shared" si="13"/>
        <v>0.48757563144346461</v>
      </c>
      <c r="AU16" s="6">
        <f t="shared" si="14"/>
        <v>0.56381239947230277</v>
      </c>
      <c r="AV16" s="6">
        <f t="shared" si="15"/>
        <v>0.36787944117144233</v>
      </c>
      <c r="AW16" s="6">
        <f t="shared" si="16"/>
        <v>0.867568089124366</v>
      </c>
      <c r="AX16" s="6">
        <f t="shared" si="17"/>
        <v>0.56381239947230277</v>
      </c>
      <c r="AY16" s="6">
        <f t="shared" si="18"/>
        <v>0.867568089124366</v>
      </c>
      <c r="AZ16" s="6">
        <f t="shared" si="19"/>
        <v>0.65143905753105558</v>
      </c>
      <c r="BA16" s="6">
        <f t="shared" si="20"/>
        <v>0.3605949401730783</v>
      </c>
      <c r="BB16" s="6">
        <f t="shared" si="21"/>
        <v>0.91838195384220134</v>
      </c>
      <c r="BC16" s="6">
        <f t="shared" si="22"/>
        <v>0.867568089124366</v>
      </c>
      <c r="BD16" s="6">
        <f t="shared" si="23"/>
        <v>0.94484942796889104</v>
      </c>
      <c r="BE16" s="6">
        <f t="shared" si="24"/>
        <v>0.867568089124366</v>
      </c>
      <c r="BF16" s="6">
        <f t="shared" si="25"/>
        <v>0.8672238897275294</v>
      </c>
      <c r="BG16" s="6">
        <f t="shared" si="26"/>
        <v>0.9720489819644974</v>
      </c>
    </row>
    <row r="17" spans="2:59" x14ac:dyDescent="0.25">
      <c r="B17" s="6">
        <f t="shared" si="2"/>
        <v>434</v>
      </c>
      <c r="C17" s="14">
        <v>1</v>
      </c>
      <c r="D17" s="5">
        <v>40616</v>
      </c>
      <c r="E17" s="6" t="s">
        <v>342</v>
      </c>
      <c r="F17" s="33">
        <v>120</v>
      </c>
      <c r="G17" s="31"/>
      <c r="H17" s="31"/>
      <c r="I17" s="31"/>
      <c r="J17" s="31"/>
      <c r="K17" s="31"/>
      <c r="L17" s="6">
        <f t="shared" si="0"/>
        <v>-201.03896103896102</v>
      </c>
      <c r="M17" s="6">
        <f t="shared" si="28"/>
        <v>36.704524632813722</v>
      </c>
      <c r="N17" s="31"/>
      <c r="O17" s="31"/>
      <c r="P17" s="31"/>
      <c r="Q17" s="31"/>
      <c r="R17" s="31"/>
      <c r="T17" s="31"/>
      <c r="U17" s="31"/>
      <c r="V17" s="43" t="s">
        <v>235</v>
      </c>
      <c r="W17" s="6">
        <f>AVERAGE(W14:W16)</f>
        <v>100</v>
      </c>
      <c r="X17" s="31"/>
      <c r="Y17" s="31"/>
      <c r="Z17" s="31"/>
      <c r="AA17" s="31"/>
      <c r="AB17" s="31"/>
      <c r="AC17" s="31"/>
      <c r="AD17" s="31"/>
      <c r="AE17" s="31"/>
      <c r="AF17" s="31"/>
      <c r="AG17" s="31"/>
      <c r="AH17" s="31"/>
      <c r="AI17" s="31"/>
      <c r="AJ17">
        <f t="shared" si="27"/>
        <v>56</v>
      </c>
      <c r="AK17" s="6">
        <f t="shared" si="4"/>
        <v>0.73136022115417709</v>
      </c>
      <c r="AL17" s="6">
        <f t="shared" si="5"/>
        <v>0.53301085821082961</v>
      </c>
      <c r="AM17" s="6">
        <f t="shared" si="6"/>
        <v>0.62463472800027442</v>
      </c>
      <c r="AN17" s="6">
        <f t="shared" si="7"/>
        <v>0.20189651799465544</v>
      </c>
      <c r="AO17" s="6">
        <f t="shared" si="8"/>
        <v>0.38706890899947682</v>
      </c>
      <c r="AP17" s="6">
        <f t="shared" si="9"/>
        <v>0.73136022115417709</v>
      </c>
      <c r="AQ17" s="6">
        <f t="shared" si="10"/>
        <v>0.85556872311705456</v>
      </c>
      <c r="AR17" s="6">
        <f t="shared" si="11"/>
        <v>0.85556872311705456</v>
      </c>
      <c r="AS17" s="6">
        <f t="shared" si="12"/>
        <v>0.62463472800027442</v>
      </c>
      <c r="AT17" s="6">
        <f t="shared" si="13"/>
        <v>0.45442045628020766</v>
      </c>
      <c r="AU17" s="6">
        <f t="shared" si="14"/>
        <v>0.53301085821082961</v>
      </c>
      <c r="AV17" s="6">
        <f t="shared" si="15"/>
        <v>0.33352441240650943</v>
      </c>
      <c r="AW17" s="6">
        <f t="shared" si="16"/>
        <v>0.85556872311705456</v>
      </c>
      <c r="AX17" s="6">
        <f t="shared" si="17"/>
        <v>0.53301085821082961</v>
      </c>
      <c r="AY17" s="6">
        <f t="shared" si="18"/>
        <v>0.85556872311705456</v>
      </c>
      <c r="AZ17" s="6">
        <f t="shared" si="19"/>
        <v>0.62463472800027442</v>
      </c>
      <c r="BA17" s="6">
        <f t="shared" si="20"/>
        <v>0.32627979462303947</v>
      </c>
      <c r="BB17" s="6">
        <f t="shared" si="21"/>
        <v>0.91074790027967578</v>
      </c>
      <c r="BC17" s="6">
        <f t="shared" si="22"/>
        <v>0.85556872311705456</v>
      </c>
      <c r="BD17" s="6">
        <f t="shared" si="23"/>
        <v>0.9396090120002113</v>
      </c>
      <c r="BE17" s="6">
        <f t="shared" si="24"/>
        <v>0.85556872311705456</v>
      </c>
      <c r="BF17" s="6">
        <f t="shared" si="25"/>
        <v>0.85519601329413197</v>
      </c>
      <c r="BG17" s="6">
        <f t="shared" si="26"/>
        <v>0.96935109587760659</v>
      </c>
    </row>
    <row r="18" spans="2:59" x14ac:dyDescent="0.25">
      <c r="B18" s="6">
        <f t="shared" si="2"/>
        <v>436</v>
      </c>
      <c r="C18" s="14">
        <v>1</v>
      </c>
      <c r="D18" s="5">
        <v>40618</v>
      </c>
      <c r="E18" s="6" t="s">
        <v>342</v>
      </c>
      <c r="F18" s="33">
        <v>30</v>
      </c>
      <c r="G18" s="31"/>
      <c r="H18" s="31"/>
      <c r="I18" s="31"/>
      <c r="J18" s="31"/>
      <c r="K18" s="31"/>
      <c r="L18" s="6">
        <f t="shared" si="0"/>
        <v>-291.03896103896102</v>
      </c>
      <c r="M18" s="6">
        <f t="shared" si="28"/>
        <v>53.136201357968709</v>
      </c>
      <c r="N18" s="31"/>
      <c r="O18" s="31"/>
      <c r="P18" s="31"/>
      <c r="Q18" s="31"/>
      <c r="R18" s="31"/>
      <c r="T18" s="6">
        <f t="shared" ref="T18:T27" si="29">DAYS360("31-12-2009",U18)</f>
        <v>1103</v>
      </c>
      <c r="U18" s="5">
        <v>41297</v>
      </c>
      <c r="V18" s="6" t="s">
        <v>347</v>
      </c>
      <c r="W18" s="33">
        <v>30</v>
      </c>
      <c r="X18" s="31"/>
      <c r="Y18" s="31"/>
      <c r="Z18" s="31"/>
      <c r="AA18" s="31"/>
      <c r="AB18" s="31"/>
      <c r="AC18" s="31"/>
      <c r="AD18" s="31"/>
      <c r="AE18" s="31"/>
      <c r="AF18" s="31"/>
      <c r="AG18" s="31"/>
      <c r="AH18" s="31"/>
      <c r="AI18" s="31"/>
      <c r="AJ18">
        <f t="shared" si="27"/>
        <v>61</v>
      </c>
      <c r="AK18" s="6">
        <f t="shared" si="4"/>
        <v>0.71121384853404512</v>
      </c>
      <c r="AL18" s="6">
        <f t="shared" si="5"/>
        <v>0.5038920308183138</v>
      </c>
      <c r="AM18" s="6">
        <f t="shared" si="6"/>
        <v>0.59893329838513198</v>
      </c>
      <c r="AN18" s="6">
        <f t="shared" si="7"/>
        <v>0.17501962948608163</v>
      </c>
      <c r="AO18" s="6">
        <f t="shared" si="8"/>
        <v>0.35561794767652555</v>
      </c>
      <c r="AP18" s="6">
        <f t="shared" si="9"/>
        <v>0.71121384853404512</v>
      </c>
      <c r="AQ18" s="6">
        <f t="shared" si="10"/>
        <v>0.84373532078035562</v>
      </c>
      <c r="AR18" s="6">
        <f t="shared" si="11"/>
        <v>0.84373532078035562</v>
      </c>
      <c r="AS18" s="6">
        <f t="shared" si="12"/>
        <v>0.59893329838513198</v>
      </c>
      <c r="AT18" s="6">
        <f t="shared" si="13"/>
        <v>0.42351983521936126</v>
      </c>
      <c r="AU18" s="6">
        <f t="shared" si="14"/>
        <v>0.5038920308183138</v>
      </c>
      <c r="AV18" s="6">
        <f t="shared" si="15"/>
        <v>0.3023776847026009</v>
      </c>
      <c r="AW18" s="6">
        <f t="shared" si="16"/>
        <v>0.84373532078035562</v>
      </c>
      <c r="AX18" s="6">
        <f t="shared" si="17"/>
        <v>0.5038920308183138</v>
      </c>
      <c r="AY18" s="6">
        <f t="shared" si="18"/>
        <v>0.84373532078035562</v>
      </c>
      <c r="AZ18" s="6">
        <f t="shared" si="19"/>
        <v>0.59893329838513198</v>
      </c>
      <c r="BA18" s="6">
        <f t="shared" si="20"/>
        <v>0.29523016692401421</v>
      </c>
      <c r="BB18" s="6">
        <f t="shared" si="21"/>
        <v>0.90317730481707448</v>
      </c>
      <c r="BC18" s="6">
        <f t="shared" si="22"/>
        <v>0.84373532078035562</v>
      </c>
      <c r="BD18" s="6">
        <f t="shared" si="23"/>
        <v>0.93439766093723176</v>
      </c>
      <c r="BE18" s="6">
        <f t="shared" si="24"/>
        <v>0.84373532078035562</v>
      </c>
      <c r="BF18" s="6">
        <f t="shared" si="25"/>
        <v>0.84333495630979571</v>
      </c>
      <c r="BG18" s="6">
        <f t="shared" si="26"/>
        <v>0.96666069767401475</v>
      </c>
    </row>
    <row r="19" spans="2:59" x14ac:dyDescent="0.25">
      <c r="B19" s="6">
        <f t="shared" si="2"/>
        <v>438</v>
      </c>
      <c r="C19" s="14">
        <v>1</v>
      </c>
      <c r="D19" s="5">
        <v>40620</v>
      </c>
      <c r="E19" s="6" t="s">
        <v>342</v>
      </c>
      <c r="F19" s="33">
        <v>300</v>
      </c>
      <c r="G19" s="31"/>
      <c r="H19" s="31"/>
      <c r="I19" s="31"/>
      <c r="J19" s="31"/>
      <c r="K19" s="31"/>
      <c r="L19" s="6">
        <f t="shared" si="0"/>
        <v>-21.03896103896102</v>
      </c>
      <c r="M19" s="6">
        <f t="shared" si="28"/>
        <v>3.8411711825037589</v>
      </c>
      <c r="N19" s="31"/>
      <c r="O19" s="31"/>
      <c r="P19" s="31"/>
      <c r="Q19" s="31"/>
      <c r="R19" s="31"/>
      <c r="T19" s="6">
        <f t="shared" si="29"/>
        <v>1153</v>
      </c>
      <c r="U19" s="5">
        <v>41346</v>
      </c>
      <c r="V19" s="6" t="s">
        <v>347</v>
      </c>
      <c r="W19" s="33">
        <v>120</v>
      </c>
      <c r="X19" s="31"/>
      <c r="Y19" s="31"/>
      <c r="Z19" s="31"/>
      <c r="AA19" s="31"/>
      <c r="AB19" s="31"/>
      <c r="AC19" s="31"/>
      <c r="AD19" s="31"/>
      <c r="AE19" s="31"/>
      <c r="AF19" s="31"/>
      <c r="AG19" s="31"/>
      <c r="AH19" s="31"/>
      <c r="AI19" s="31"/>
      <c r="AJ19">
        <f t="shared" si="27"/>
        <v>66</v>
      </c>
      <c r="AK19" s="6">
        <f t="shared" si="4"/>
        <v>0.69162243681827928</v>
      </c>
      <c r="AL19" s="6">
        <f t="shared" si="5"/>
        <v>0.47636398923372941</v>
      </c>
      <c r="AM19" s="6">
        <f t="shared" si="6"/>
        <v>0.57428938839650279</v>
      </c>
      <c r="AN19" s="6">
        <f t="shared" si="7"/>
        <v>0.15172064882394942</v>
      </c>
      <c r="AO19" s="6">
        <f t="shared" si="8"/>
        <v>0.32672250798070429</v>
      </c>
      <c r="AP19" s="6">
        <f t="shared" si="9"/>
        <v>0.69162243681827928</v>
      </c>
      <c r="AQ19" s="6">
        <f t="shared" si="10"/>
        <v>0.83206558666466413</v>
      </c>
      <c r="AR19" s="6">
        <f t="shared" si="11"/>
        <v>0.83206558666466413</v>
      </c>
      <c r="AS19" s="6">
        <f t="shared" si="12"/>
        <v>0.57428938839650279</v>
      </c>
      <c r="AT19" s="6">
        <f t="shared" si="13"/>
        <v>0.39472045843295223</v>
      </c>
      <c r="AU19" s="6">
        <f t="shared" si="14"/>
        <v>0.47636398923372941</v>
      </c>
      <c r="AV19" s="6">
        <f t="shared" si="15"/>
        <v>0.27413964557012738</v>
      </c>
      <c r="AW19" s="6">
        <f t="shared" si="16"/>
        <v>0.83206558666466413</v>
      </c>
      <c r="AX19" s="6">
        <f t="shared" si="17"/>
        <v>0.47636398923372941</v>
      </c>
      <c r="AY19" s="6">
        <f t="shared" si="18"/>
        <v>0.83206558666466413</v>
      </c>
      <c r="AZ19" s="6">
        <f t="shared" si="19"/>
        <v>0.57428938839650279</v>
      </c>
      <c r="BA19" s="6">
        <f t="shared" si="20"/>
        <v>0.26713530196585034</v>
      </c>
      <c r="BB19" s="6">
        <f t="shared" si="21"/>
        <v>0.89566963995869497</v>
      </c>
      <c r="BC19" s="6">
        <f t="shared" si="22"/>
        <v>0.83206558666466413</v>
      </c>
      <c r="BD19" s="6">
        <f t="shared" si="23"/>
        <v>0.92921521357734016</v>
      </c>
      <c r="BE19" s="6">
        <f t="shared" si="24"/>
        <v>0.83206558666466413</v>
      </c>
      <c r="BF19" s="6">
        <f t="shared" si="25"/>
        <v>0.83163840508858133</v>
      </c>
      <c r="BG19" s="6">
        <f t="shared" si="26"/>
        <v>0.96397776657137801</v>
      </c>
    </row>
    <row r="20" spans="2:59" x14ac:dyDescent="0.25">
      <c r="B20" s="6">
        <f t="shared" si="2"/>
        <v>533</v>
      </c>
      <c r="C20" s="14">
        <v>1</v>
      </c>
      <c r="D20" s="5">
        <v>40717</v>
      </c>
      <c r="E20" s="6" t="s">
        <v>342</v>
      </c>
      <c r="F20" s="33">
        <v>30</v>
      </c>
      <c r="G20" s="31"/>
      <c r="H20" s="31"/>
      <c r="I20" s="31"/>
      <c r="J20" s="31"/>
      <c r="K20" s="31"/>
      <c r="L20" s="6">
        <f t="shared" si="0"/>
        <v>-291.03896103896102</v>
      </c>
      <c r="M20" s="6">
        <f t="shared" si="28"/>
        <v>53.136201357968709</v>
      </c>
      <c r="N20" s="31"/>
      <c r="O20" s="31"/>
      <c r="P20" s="31"/>
      <c r="Q20" s="31"/>
      <c r="R20" s="31"/>
      <c r="T20" s="6">
        <f t="shared" si="29"/>
        <v>1168</v>
      </c>
      <c r="U20" s="5">
        <v>41361</v>
      </c>
      <c r="V20" s="6" t="s">
        <v>347</v>
      </c>
      <c r="W20" s="33">
        <v>60</v>
      </c>
      <c r="X20" s="31"/>
      <c r="Y20" s="31"/>
      <c r="Z20" s="31"/>
      <c r="AA20" s="31"/>
      <c r="AB20" s="31"/>
      <c r="AC20" s="31"/>
      <c r="AD20" s="31"/>
      <c r="AE20" s="31"/>
      <c r="AF20" s="31"/>
      <c r="AG20" s="31"/>
      <c r="AH20" s="31"/>
      <c r="AI20" s="31"/>
      <c r="AJ20">
        <f t="shared" si="27"/>
        <v>71</v>
      </c>
      <c r="AK20" s="6">
        <f t="shared" si="4"/>
        <v>0.67257069880797882</v>
      </c>
      <c r="AL20" s="6">
        <f t="shared" si="5"/>
        <v>0.45033982750263662</v>
      </c>
      <c r="AM20" s="6">
        <f t="shared" si="6"/>
        <v>0.55065948497782913</v>
      </c>
      <c r="AN20" s="6">
        <f t="shared" si="7"/>
        <v>0.13152327740124015</v>
      </c>
      <c r="AO20" s="6">
        <f t="shared" si="8"/>
        <v>0.30017494313391713</v>
      </c>
      <c r="AP20" s="6">
        <f t="shared" si="9"/>
        <v>0.67257069880797882</v>
      </c>
      <c r="AQ20" s="6">
        <f t="shared" si="10"/>
        <v>0.82055725706882254</v>
      </c>
      <c r="AR20" s="6">
        <f t="shared" si="11"/>
        <v>0.82055725706882254</v>
      </c>
      <c r="AS20" s="6">
        <f t="shared" si="12"/>
        <v>0.55065948497782913</v>
      </c>
      <c r="AT20" s="6">
        <f t="shared" si="13"/>
        <v>0.36787944117144233</v>
      </c>
      <c r="AU20" s="6">
        <f t="shared" si="14"/>
        <v>0.45033982750263662</v>
      </c>
      <c r="AV20" s="6">
        <f t="shared" si="15"/>
        <v>0.24853866232632299</v>
      </c>
      <c r="AW20" s="6">
        <f t="shared" si="16"/>
        <v>0.82055725706882254</v>
      </c>
      <c r="AX20" s="6">
        <f t="shared" si="17"/>
        <v>0.45033982750263662</v>
      </c>
      <c r="AY20" s="6">
        <f t="shared" si="18"/>
        <v>0.82055725706882254</v>
      </c>
      <c r="AZ20" s="6">
        <f t="shared" si="19"/>
        <v>0.55065948497782913</v>
      </c>
      <c r="BA20" s="6">
        <f t="shared" si="20"/>
        <v>0.24171401689703645</v>
      </c>
      <c r="BB20" s="6">
        <f t="shared" si="21"/>
        <v>0.888224382593645</v>
      </c>
      <c r="BC20" s="6">
        <f t="shared" si="22"/>
        <v>0.82055725706882254</v>
      </c>
      <c r="BD20" s="6">
        <f t="shared" si="23"/>
        <v>0.92406150961200195</v>
      </c>
      <c r="BE20" s="6">
        <f t="shared" si="24"/>
        <v>0.82055725706882254</v>
      </c>
      <c r="BF20" s="6">
        <f t="shared" si="25"/>
        <v>0.82010407803398888</v>
      </c>
      <c r="BG20" s="6">
        <f t="shared" si="26"/>
        <v>0.96130228184503319</v>
      </c>
    </row>
    <row r="21" spans="2:59" x14ac:dyDescent="0.25">
      <c r="B21" s="6">
        <f t="shared" si="2"/>
        <v>571</v>
      </c>
      <c r="C21" s="14">
        <v>1</v>
      </c>
      <c r="D21" s="5">
        <v>40756</v>
      </c>
      <c r="E21" s="6" t="s">
        <v>342</v>
      </c>
      <c r="F21" s="33">
        <v>60</v>
      </c>
      <c r="G21" s="31"/>
      <c r="H21" s="31"/>
      <c r="I21" s="31"/>
      <c r="J21" s="31"/>
      <c r="K21" s="31"/>
      <c r="L21" s="6">
        <f t="shared" si="0"/>
        <v>-261.03896103896102</v>
      </c>
      <c r="M21" s="6">
        <f t="shared" si="28"/>
        <v>47.658975782917047</v>
      </c>
      <c r="N21" s="31"/>
      <c r="O21" s="31"/>
      <c r="P21" s="31"/>
      <c r="Q21" s="31"/>
      <c r="R21" s="31"/>
      <c r="T21" s="6">
        <f t="shared" si="29"/>
        <v>1171</v>
      </c>
      <c r="U21" s="5">
        <v>41365</v>
      </c>
      <c r="V21" s="6" t="s">
        <v>347</v>
      </c>
      <c r="W21" s="33">
        <v>60</v>
      </c>
      <c r="X21" s="31"/>
      <c r="Y21" s="31"/>
      <c r="Z21" s="31"/>
      <c r="AA21" s="31"/>
      <c r="AB21" s="31"/>
      <c r="AC21" s="31"/>
      <c r="AD21" s="31"/>
      <c r="AE21" s="31"/>
      <c r="AF21" s="31"/>
      <c r="AG21" s="31"/>
      <c r="AH21" s="31"/>
      <c r="AI21" s="31"/>
      <c r="AJ21">
        <f t="shared" si="27"/>
        <v>76</v>
      </c>
      <c r="AK21" s="6">
        <f t="shared" si="4"/>
        <v>0.65404376841219558</v>
      </c>
      <c r="AL21" s="6">
        <f t="shared" si="5"/>
        <v>0.42573738741531353</v>
      </c>
      <c r="AM21" s="6">
        <f t="shared" si="6"/>
        <v>0.52800186547534433</v>
      </c>
      <c r="AN21" s="6">
        <f t="shared" si="7"/>
        <v>0.11401462248184759</v>
      </c>
      <c r="AO21" s="6">
        <f t="shared" si="8"/>
        <v>0.27578447852381149</v>
      </c>
      <c r="AP21" s="6">
        <f t="shared" si="9"/>
        <v>0.65404376841219558</v>
      </c>
      <c r="AQ21" s="6">
        <f t="shared" si="10"/>
        <v>0.80920809960100692</v>
      </c>
      <c r="AR21" s="6">
        <f t="shared" si="11"/>
        <v>0.80920809960100692</v>
      </c>
      <c r="AS21" s="6">
        <f t="shared" si="12"/>
        <v>0.52800186547534433</v>
      </c>
      <c r="AT21" s="6">
        <f t="shared" si="13"/>
        <v>0.3428636148577055</v>
      </c>
      <c r="AU21" s="6">
        <f t="shared" si="14"/>
        <v>0.42573738741531353</v>
      </c>
      <c r="AV21" s="6">
        <f t="shared" si="15"/>
        <v>0.22532846915480634</v>
      </c>
      <c r="AW21" s="6">
        <f t="shared" si="16"/>
        <v>0.80920809960100692</v>
      </c>
      <c r="AX21" s="6">
        <f t="shared" si="17"/>
        <v>0.42573738741531353</v>
      </c>
      <c r="AY21" s="6">
        <f t="shared" si="18"/>
        <v>0.80920809960100692</v>
      </c>
      <c r="AZ21" s="6">
        <f t="shared" si="19"/>
        <v>0.52800186547534433</v>
      </c>
      <c r="BA21" s="6">
        <f t="shared" si="20"/>
        <v>0.21871188695221475</v>
      </c>
      <c r="BB21" s="6">
        <f t="shared" si="21"/>
        <v>0.88084101395939352</v>
      </c>
      <c r="BC21" s="6">
        <f t="shared" si="22"/>
        <v>0.80920809960100692</v>
      </c>
      <c r="BD21" s="6">
        <f t="shared" si="23"/>
        <v>0.91893638962180124</v>
      </c>
      <c r="BE21" s="6">
        <f t="shared" si="24"/>
        <v>0.80920809960100692</v>
      </c>
      <c r="BF21" s="6">
        <f t="shared" si="25"/>
        <v>0.80872972519389663</v>
      </c>
      <c r="BG21" s="6">
        <f t="shared" si="26"/>
        <v>0.95863422282783761</v>
      </c>
    </row>
    <row r="22" spans="2:59" x14ac:dyDescent="0.25">
      <c r="B22" s="6">
        <f t="shared" si="2"/>
        <v>593</v>
      </c>
      <c r="C22" s="14">
        <v>1</v>
      </c>
      <c r="D22" s="5">
        <v>40778</v>
      </c>
      <c r="E22" s="6" t="s">
        <v>342</v>
      </c>
      <c r="F22" s="33">
        <v>60</v>
      </c>
      <c r="G22" s="31"/>
      <c r="H22" s="31"/>
      <c r="I22" s="31"/>
      <c r="J22" s="31"/>
      <c r="K22" s="31"/>
      <c r="L22" s="6">
        <f t="shared" si="0"/>
        <v>-261.03896103896102</v>
      </c>
      <c r="M22" s="6">
        <f t="shared" si="28"/>
        <v>47.658975782917047</v>
      </c>
      <c r="N22" s="31"/>
      <c r="O22" s="31"/>
      <c r="P22" s="31"/>
      <c r="Q22" s="31"/>
      <c r="R22" s="31"/>
      <c r="T22" s="6">
        <f t="shared" si="29"/>
        <v>1316</v>
      </c>
      <c r="U22" s="5">
        <v>41512</v>
      </c>
      <c r="V22" s="6" t="s">
        <v>347</v>
      </c>
      <c r="W22" s="33">
        <v>120</v>
      </c>
      <c r="X22" s="31"/>
      <c r="Y22" s="31"/>
      <c r="Z22" s="31"/>
      <c r="AA22" s="31"/>
      <c r="AB22" s="31"/>
      <c r="AC22" s="31"/>
      <c r="AD22" s="31"/>
      <c r="AE22" s="31"/>
      <c r="AF22" s="31"/>
      <c r="AG22" s="31"/>
      <c r="AH22" s="31"/>
      <c r="AI22" s="31"/>
      <c r="AJ22">
        <f t="shared" si="27"/>
        <v>81</v>
      </c>
      <c r="AK22" s="6">
        <f t="shared" si="4"/>
        <v>0.63602718904790756</v>
      </c>
      <c r="AL22" s="6">
        <f t="shared" si="5"/>
        <v>0.4024789991335056</v>
      </c>
      <c r="AM22" s="6">
        <f t="shared" si="6"/>
        <v>0.50627652396956024</v>
      </c>
      <c r="AN22" s="6">
        <f t="shared" si="7"/>
        <v>9.8836756477873877E-2</v>
      </c>
      <c r="AO22" s="6">
        <f t="shared" si="8"/>
        <v>0.25337584077002484</v>
      </c>
      <c r="AP22" s="6">
        <f t="shared" si="9"/>
        <v>0.63602718904790756</v>
      </c>
      <c r="AQ22" s="6">
        <f t="shared" si="10"/>
        <v>0.79801591274568617</v>
      </c>
      <c r="AR22" s="6">
        <f t="shared" si="11"/>
        <v>0.79801591274568617</v>
      </c>
      <c r="AS22" s="6">
        <f t="shared" si="12"/>
        <v>0.50627652396956024</v>
      </c>
      <c r="AT22" s="6">
        <f t="shared" si="13"/>
        <v>0.3195488663866618</v>
      </c>
      <c r="AU22" s="6">
        <f t="shared" si="14"/>
        <v>0.4024789991335056</v>
      </c>
      <c r="AV22" s="6">
        <f t="shared" si="15"/>
        <v>0.20428579817889811</v>
      </c>
      <c r="AW22" s="6">
        <f t="shared" si="16"/>
        <v>0.79801591274568617</v>
      </c>
      <c r="AX22" s="6">
        <f t="shared" si="17"/>
        <v>0.4024789991335056</v>
      </c>
      <c r="AY22" s="6">
        <f t="shared" si="18"/>
        <v>0.79801591274568617</v>
      </c>
      <c r="AZ22" s="6">
        <f t="shared" si="19"/>
        <v>0.50627652396956024</v>
      </c>
      <c r="BA22" s="6">
        <f t="shared" si="20"/>
        <v>0.19789869908361465</v>
      </c>
      <c r="BB22" s="6">
        <f t="shared" si="21"/>
        <v>0.87351901960562528</v>
      </c>
      <c r="BC22" s="6">
        <f t="shared" si="22"/>
        <v>0.79801591274568617</v>
      </c>
      <c r="BD22" s="6">
        <f t="shared" si="23"/>
        <v>0.91383969507150986</v>
      </c>
      <c r="BE22" s="6">
        <f t="shared" si="24"/>
        <v>0.79801591274568617</v>
      </c>
      <c r="BF22" s="6">
        <f t="shared" si="25"/>
        <v>0.79751312782167261</v>
      </c>
      <c r="BG22" s="6">
        <f t="shared" si="26"/>
        <v>0.95597356891000962</v>
      </c>
    </row>
    <row r="23" spans="2:59" x14ac:dyDescent="0.25">
      <c r="B23" s="6">
        <f t="shared" si="2"/>
        <v>655</v>
      </c>
      <c r="C23" s="14">
        <v>1</v>
      </c>
      <c r="D23" s="5">
        <v>40841</v>
      </c>
      <c r="E23" s="6" t="s">
        <v>342</v>
      </c>
      <c r="F23" s="33">
        <v>180</v>
      </c>
      <c r="G23" s="31"/>
      <c r="H23" s="31"/>
      <c r="I23" s="31"/>
      <c r="J23" s="31"/>
      <c r="K23" s="31"/>
      <c r="L23" s="6">
        <f t="shared" si="0"/>
        <v>-141.03896103896102</v>
      </c>
      <c r="M23" s="6">
        <f t="shared" si="28"/>
        <v>25.750073482710405</v>
      </c>
      <c r="N23" s="31"/>
      <c r="O23" s="31"/>
      <c r="P23" s="31"/>
      <c r="Q23" s="31"/>
      <c r="R23" s="31"/>
      <c r="T23" s="6">
        <f t="shared" si="29"/>
        <v>1364</v>
      </c>
      <c r="U23" s="5">
        <v>41561</v>
      </c>
      <c r="V23" s="6" t="s">
        <v>347</v>
      </c>
      <c r="W23" s="33">
        <v>60</v>
      </c>
      <c r="X23" s="31"/>
      <c r="Y23" s="31"/>
      <c r="Z23" s="31"/>
      <c r="AA23" s="31"/>
      <c r="AB23" s="31"/>
      <c r="AC23" s="31"/>
      <c r="AD23" s="31"/>
      <c r="AE23" s="31"/>
      <c r="AF23" s="31"/>
      <c r="AG23" s="31"/>
      <c r="AH23" s="31"/>
      <c r="AI23" s="31"/>
      <c r="AJ23">
        <f t="shared" si="27"/>
        <v>86</v>
      </c>
      <c r="AK23" s="6">
        <f t="shared" si="4"/>
        <v>0.61850690235953287</v>
      </c>
      <c r="AL23" s="6">
        <f t="shared" si="5"/>
        <v>0.38049123598695195</v>
      </c>
      <c r="AM23" s="6">
        <f t="shared" si="6"/>
        <v>0.48544510063794399</v>
      </c>
      <c r="AN23" s="6">
        <f t="shared" si="7"/>
        <v>8.5679399873659468E-2</v>
      </c>
      <c r="AO23" s="6">
        <f t="shared" si="8"/>
        <v>0.23278799818450968</v>
      </c>
      <c r="AP23" s="6">
        <f t="shared" si="9"/>
        <v>0.61850690235953287</v>
      </c>
      <c r="AQ23" s="6">
        <f t="shared" si="10"/>
        <v>0.78697852543657143</v>
      </c>
      <c r="AR23" s="6">
        <f t="shared" si="11"/>
        <v>0.78697852543657143</v>
      </c>
      <c r="AS23" s="6">
        <f t="shared" si="12"/>
        <v>0.48544510063794399</v>
      </c>
      <c r="AT23" s="6">
        <f t="shared" si="13"/>
        <v>0.29781952235257952</v>
      </c>
      <c r="AU23" s="6">
        <f t="shared" si="14"/>
        <v>0.38049123598695195</v>
      </c>
      <c r="AV23" s="6">
        <f t="shared" si="15"/>
        <v>0.18520823176106552</v>
      </c>
      <c r="AW23" s="6">
        <f t="shared" si="16"/>
        <v>0.78697852543657143</v>
      </c>
      <c r="AX23" s="6">
        <f t="shared" si="17"/>
        <v>0.38049123598695195</v>
      </c>
      <c r="AY23" s="6">
        <f t="shared" si="18"/>
        <v>0.78697852543657143</v>
      </c>
      <c r="AZ23" s="6">
        <f t="shared" si="19"/>
        <v>0.48544510063794399</v>
      </c>
      <c r="BA23" s="6">
        <f t="shared" si="20"/>
        <v>0.17906614791149322</v>
      </c>
      <c r="BB23" s="6">
        <f t="shared" si="21"/>
        <v>0.86625788935839487</v>
      </c>
      <c r="BC23" s="6">
        <f t="shared" si="22"/>
        <v>0.78697852543657143</v>
      </c>
      <c r="BD23" s="6">
        <f t="shared" si="23"/>
        <v>0.90877126830518307</v>
      </c>
      <c r="BE23" s="6">
        <f t="shared" si="24"/>
        <v>0.78697852543657143</v>
      </c>
      <c r="BF23" s="6">
        <f t="shared" si="25"/>
        <v>0.78645209794337312</v>
      </c>
      <c r="BG23" s="6">
        <f t="shared" si="26"/>
        <v>0.95332029953896891</v>
      </c>
    </row>
    <row r="24" spans="2:59" x14ac:dyDescent="0.25">
      <c r="B24" s="6">
        <f t="shared" si="2"/>
        <v>656</v>
      </c>
      <c r="C24" s="14">
        <v>1</v>
      </c>
      <c r="D24" s="5">
        <v>40842</v>
      </c>
      <c r="E24" s="6" t="s">
        <v>342</v>
      </c>
      <c r="F24" s="33">
        <v>120</v>
      </c>
      <c r="G24" s="31"/>
      <c r="H24" s="31"/>
      <c r="I24" s="31"/>
      <c r="J24" s="31"/>
      <c r="K24" s="31"/>
      <c r="L24" s="6">
        <f t="shared" si="0"/>
        <v>-201.03896103896102</v>
      </c>
      <c r="M24" s="6">
        <f t="shared" si="28"/>
        <v>36.704524632813722</v>
      </c>
      <c r="N24" s="31"/>
      <c r="O24" s="31"/>
      <c r="P24" s="31"/>
      <c r="Q24" s="31"/>
      <c r="R24" s="31"/>
      <c r="T24" s="6">
        <f t="shared" si="29"/>
        <v>1369</v>
      </c>
      <c r="U24" s="5">
        <v>41566</v>
      </c>
      <c r="V24" s="6" t="s">
        <v>347</v>
      </c>
      <c r="W24" s="33">
        <v>150</v>
      </c>
      <c r="X24" s="31"/>
      <c r="Y24" s="31"/>
      <c r="Z24" s="31"/>
      <c r="AA24" s="31"/>
      <c r="AB24" s="31"/>
      <c r="AC24" s="31"/>
      <c r="AD24" s="31"/>
      <c r="AE24" s="31"/>
      <c r="AF24" s="31"/>
      <c r="AG24" s="31"/>
      <c r="AH24" s="31"/>
      <c r="AI24" s="31"/>
      <c r="AJ24">
        <f t="shared" si="27"/>
        <v>91</v>
      </c>
      <c r="AK24" s="6">
        <f t="shared" si="4"/>
        <v>0.60146923724917967</v>
      </c>
      <c r="AL24" s="6">
        <f t="shared" si="5"/>
        <v>0.35970468266558103</v>
      </c>
      <c r="AM24" s="6">
        <f t="shared" si="6"/>
        <v>0.46547081402406171</v>
      </c>
      <c r="AN24" s="6">
        <f t="shared" si="7"/>
        <v>7.4273578214333877E-2</v>
      </c>
      <c r="AO24" s="6">
        <f t="shared" si="8"/>
        <v>0.21387300357470454</v>
      </c>
      <c r="AP24" s="6">
        <f t="shared" si="9"/>
        <v>0.60146923724917967</v>
      </c>
      <c r="AQ24" s="6">
        <f t="shared" si="10"/>
        <v>0.77609379663547085</v>
      </c>
      <c r="AR24" s="6">
        <f t="shared" si="11"/>
        <v>0.77609379663547085</v>
      </c>
      <c r="AS24" s="6">
        <f t="shared" si="12"/>
        <v>0.46547081402406171</v>
      </c>
      <c r="AT24" s="6">
        <f t="shared" si="13"/>
        <v>0.27756777514896186</v>
      </c>
      <c r="AU24" s="6">
        <f t="shared" si="14"/>
        <v>0.35970468266558103</v>
      </c>
      <c r="AV24" s="6">
        <f t="shared" si="15"/>
        <v>0.1679122553689287</v>
      </c>
      <c r="AW24" s="6">
        <f t="shared" si="16"/>
        <v>0.77609379663547085</v>
      </c>
      <c r="AX24" s="6">
        <f t="shared" si="17"/>
        <v>0.35970468266558103</v>
      </c>
      <c r="AY24" s="6">
        <f t="shared" si="18"/>
        <v>0.77609379663547085</v>
      </c>
      <c r="AZ24" s="6">
        <f t="shared" si="19"/>
        <v>0.46547081402406171</v>
      </c>
      <c r="BA24" s="6">
        <f t="shared" si="20"/>
        <v>0.16202575093388075</v>
      </c>
      <c r="BB24" s="6">
        <f t="shared" si="21"/>
        <v>0.85905711728458012</v>
      </c>
      <c r="BC24" s="6">
        <f t="shared" si="22"/>
        <v>0.77609379663547085</v>
      </c>
      <c r="BD24" s="6">
        <f t="shared" si="23"/>
        <v>0.90373095254128277</v>
      </c>
      <c r="BE24" s="6">
        <f t="shared" si="24"/>
        <v>0.77609379663547085</v>
      </c>
      <c r="BF24" s="6">
        <f t="shared" si="25"/>
        <v>0.7755444779309435</v>
      </c>
      <c r="BG24" s="6">
        <f t="shared" si="26"/>
        <v>0.95067439421917843</v>
      </c>
    </row>
    <row r="25" spans="2:59" x14ac:dyDescent="0.25">
      <c r="B25" s="6">
        <f t="shared" si="2"/>
        <v>657</v>
      </c>
      <c r="C25" s="14">
        <v>1</v>
      </c>
      <c r="D25" s="5">
        <v>40843</v>
      </c>
      <c r="E25" s="6" t="s">
        <v>342</v>
      </c>
      <c r="F25" s="33">
        <v>180</v>
      </c>
      <c r="G25" s="31"/>
      <c r="H25" s="31"/>
      <c r="I25" s="31"/>
      <c r="J25" s="31"/>
      <c r="K25" s="31"/>
      <c r="L25" s="6">
        <f t="shared" si="0"/>
        <v>-141.03896103896102</v>
      </c>
      <c r="M25" s="6">
        <f t="shared" si="28"/>
        <v>25.750073482710405</v>
      </c>
      <c r="N25" s="31"/>
      <c r="O25" s="31"/>
      <c r="P25" s="31"/>
      <c r="Q25" s="31"/>
      <c r="R25" s="31"/>
      <c r="T25" s="6">
        <f t="shared" si="29"/>
        <v>1370</v>
      </c>
      <c r="U25" s="5">
        <v>41567</v>
      </c>
      <c r="V25" s="6" t="s">
        <v>347</v>
      </c>
      <c r="W25" s="33">
        <v>120</v>
      </c>
      <c r="X25" s="31"/>
      <c r="Y25" s="31"/>
      <c r="Z25" s="31"/>
      <c r="AA25" s="31"/>
      <c r="AB25" s="31"/>
      <c r="AC25" s="31"/>
      <c r="AD25" s="31"/>
      <c r="AE25" s="31"/>
      <c r="AF25" s="31"/>
      <c r="AG25" s="31"/>
      <c r="AH25" s="31"/>
      <c r="AI25" s="31"/>
      <c r="AJ25">
        <f t="shared" si="27"/>
        <v>96</v>
      </c>
      <c r="AK25" s="6">
        <f t="shared" si="4"/>
        <v>0.5849008992090744</v>
      </c>
      <c r="AL25" s="6">
        <f t="shared" si="5"/>
        <v>0.34005371607556145</v>
      </c>
      <c r="AM25" s="6">
        <f t="shared" si="6"/>
        <v>0.44631839609359841</v>
      </c>
      <c r="AN25" s="6">
        <f t="shared" si="7"/>
        <v>6.4386123489372601E-2</v>
      </c>
      <c r="AO25" s="6">
        <f t="shared" si="8"/>
        <v>0.19649493107376759</v>
      </c>
      <c r="AP25" s="6">
        <f t="shared" si="9"/>
        <v>0.5849008992090744</v>
      </c>
      <c r="AQ25" s="6">
        <f t="shared" si="10"/>
        <v>0.76535961491697058</v>
      </c>
      <c r="AR25" s="6">
        <f t="shared" si="11"/>
        <v>0.76535961491697058</v>
      </c>
      <c r="AS25" s="6">
        <f t="shared" si="12"/>
        <v>0.44631839609359841</v>
      </c>
      <c r="AT25" s="6">
        <f t="shared" si="13"/>
        <v>0.25869314809367921</v>
      </c>
      <c r="AU25" s="6">
        <f t="shared" si="14"/>
        <v>0.34005371607556145</v>
      </c>
      <c r="AV25" s="6">
        <f t="shared" si="15"/>
        <v>0.1522314922775877</v>
      </c>
      <c r="AW25" s="6">
        <f t="shared" si="16"/>
        <v>0.76535961491697058</v>
      </c>
      <c r="AX25" s="6">
        <f t="shared" si="17"/>
        <v>0.34005371607556145</v>
      </c>
      <c r="AY25" s="6">
        <f t="shared" si="18"/>
        <v>0.76535961491697058</v>
      </c>
      <c r="AZ25" s="6">
        <f t="shared" si="19"/>
        <v>0.44631839609359841</v>
      </c>
      <c r="BA25" s="6">
        <f t="shared" si="20"/>
        <v>0.14660696213035015</v>
      </c>
      <c r="BB25" s="6">
        <f t="shared" si="21"/>
        <v>0.85191620165662996</v>
      </c>
      <c r="BC25" s="6">
        <f t="shared" si="22"/>
        <v>0.76535961491697058</v>
      </c>
      <c r="BD25" s="6">
        <f t="shared" si="23"/>
        <v>0.89871859186782799</v>
      </c>
      <c r="BE25" s="6">
        <f t="shared" si="24"/>
        <v>0.76535961491697058</v>
      </c>
      <c r="BF25" s="6">
        <f t="shared" si="25"/>
        <v>0.76478814008133933</v>
      </c>
      <c r="BG25" s="6">
        <f t="shared" si="26"/>
        <v>0.94803583251198564</v>
      </c>
    </row>
    <row r="26" spans="2:59" x14ac:dyDescent="0.25">
      <c r="B26" s="6">
        <f t="shared" si="2"/>
        <v>692</v>
      </c>
      <c r="C26" s="14">
        <v>1</v>
      </c>
      <c r="D26" s="5">
        <v>40879</v>
      </c>
      <c r="E26" s="6" t="s">
        <v>342</v>
      </c>
      <c r="F26" s="33">
        <v>30</v>
      </c>
      <c r="G26" s="31"/>
      <c r="H26" s="31"/>
      <c r="I26" s="31"/>
      <c r="J26" s="31"/>
      <c r="K26" s="31"/>
      <c r="L26" s="6">
        <f t="shared" si="0"/>
        <v>-291.03896103896102</v>
      </c>
      <c r="M26" s="6">
        <f t="shared" si="28"/>
        <v>53.136201357968709</v>
      </c>
      <c r="N26" s="31"/>
      <c r="O26" s="31"/>
      <c r="P26" s="31"/>
      <c r="Q26" s="31"/>
      <c r="R26" s="31"/>
      <c r="T26" s="6">
        <f t="shared" si="29"/>
        <v>1400</v>
      </c>
      <c r="U26" s="5">
        <v>41598</v>
      </c>
      <c r="V26" s="6" t="s">
        <v>347</v>
      </c>
      <c r="W26" s="33">
        <v>90</v>
      </c>
      <c r="X26" s="31"/>
      <c r="Y26" s="31"/>
      <c r="Z26" s="31"/>
      <c r="AA26" s="31"/>
      <c r="AB26" s="31"/>
      <c r="AC26" s="31"/>
      <c r="AD26" s="31"/>
      <c r="AE26" s="31"/>
      <c r="AF26" s="31"/>
      <c r="AG26" s="31"/>
      <c r="AH26" s="31"/>
      <c r="AI26" s="31"/>
      <c r="AJ26">
        <f t="shared" si="27"/>
        <v>101</v>
      </c>
      <c r="AK26" s="6">
        <f t="shared" si="4"/>
        <v>0.56878895994784373</v>
      </c>
      <c r="AL26" s="6">
        <f t="shared" si="5"/>
        <v>0.32147629816736722</v>
      </c>
      <c r="AM26" s="6">
        <f t="shared" si="6"/>
        <v>0.42795402996258514</v>
      </c>
      <c r="AN26" s="6">
        <f t="shared" si="7"/>
        <v>5.5814907503523158E-2</v>
      </c>
      <c r="AO26" s="6">
        <f t="shared" si="8"/>
        <v>0.18052889935778341</v>
      </c>
      <c r="AP26" s="6">
        <f t="shared" si="9"/>
        <v>0.56878895994784373</v>
      </c>
      <c r="AQ26" s="6">
        <f t="shared" si="10"/>
        <v>0.75477389805885875</v>
      </c>
      <c r="AR26" s="6">
        <f t="shared" si="11"/>
        <v>0.75477389805885875</v>
      </c>
      <c r="AS26" s="6">
        <f t="shared" si="12"/>
        <v>0.42795402996258514</v>
      </c>
      <c r="AT26" s="6">
        <f t="shared" si="13"/>
        <v>0.24110199692562737</v>
      </c>
      <c r="AU26" s="6">
        <f t="shared" si="14"/>
        <v>0.32147629816736722</v>
      </c>
      <c r="AV26" s="6">
        <f t="shared" si="15"/>
        <v>0.13801510312718693</v>
      </c>
      <c r="AW26" s="6">
        <f t="shared" si="16"/>
        <v>0.75477389805885875</v>
      </c>
      <c r="AX26" s="6">
        <f t="shared" si="17"/>
        <v>0.32147629816736722</v>
      </c>
      <c r="AY26" s="6">
        <f t="shared" si="18"/>
        <v>0.75477389805885875</v>
      </c>
      <c r="AZ26" s="6">
        <f t="shared" si="19"/>
        <v>0.42795402996258514</v>
      </c>
      <c r="BA26" s="6">
        <f t="shared" si="20"/>
        <v>0.13265546508012172</v>
      </c>
      <c r="BB26" s="6">
        <f t="shared" si="21"/>
        <v>0.84483464491760507</v>
      </c>
      <c r="BC26" s="6">
        <f t="shared" si="22"/>
        <v>0.75477389805885875</v>
      </c>
      <c r="BD26" s="6">
        <f t="shared" si="23"/>
        <v>0.89373403123757211</v>
      </c>
      <c r="BE26" s="6">
        <f t="shared" si="24"/>
        <v>0.75477389805885875</v>
      </c>
      <c r="BF26" s="6">
        <f t="shared" si="25"/>
        <v>0.75418098620148455</v>
      </c>
      <c r="BG26" s="6">
        <f t="shared" si="26"/>
        <v>0.94540459403546462</v>
      </c>
    </row>
    <row r="27" spans="2:59" x14ac:dyDescent="0.25">
      <c r="B27" s="6">
        <f t="shared" si="2"/>
        <v>728</v>
      </c>
      <c r="C27" s="10">
        <v>1</v>
      </c>
      <c r="D27" s="5">
        <v>40916</v>
      </c>
      <c r="E27" s="6" t="s">
        <v>342</v>
      </c>
      <c r="F27" s="33">
        <v>120</v>
      </c>
      <c r="G27" s="31"/>
      <c r="H27" s="31"/>
      <c r="I27" s="31"/>
      <c r="J27" s="31"/>
      <c r="K27" s="31"/>
      <c r="L27" s="6">
        <f t="shared" si="0"/>
        <v>-201.03896103896102</v>
      </c>
      <c r="M27" s="6">
        <f t="shared" ref="M27:M45" si="30">SQRT((L27*L27)/COUNT($B$6:$B$82))</f>
        <v>22.910515890846693</v>
      </c>
      <c r="N27" s="31"/>
      <c r="O27" s="31"/>
      <c r="P27" s="31"/>
      <c r="Q27" s="31"/>
      <c r="R27" s="31"/>
      <c r="T27" s="6">
        <f t="shared" si="29"/>
        <v>1419</v>
      </c>
      <c r="U27" s="5">
        <v>41617</v>
      </c>
      <c r="V27" s="6" t="s">
        <v>347</v>
      </c>
      <c r="W27" s="33">
        <v>30</v>
      </c>
      <c r="X27" s="33">
        <f>COUNT(W18:W27)</f>
        <v>10</v>
      </c>
      <c r="Y27" s="33">
        <f>COUNT(X18:X27)</f>
        <v>1</v>
      </c>
      <c r="Z27" s="6">
        <f>($F$86-Y27)/X27</f>
        <v>51839.9</v>
      </c>
      <c r="AA27" s="6">
        <f>INT(Z27/60/24)</f>
        <v>35</v>
      </c>
      <c r="AB27" s="6">
        <f>Y27/X27</f>
        <v>0.1</v>
      </c>
      <c r="AC27" s="6">
        <f>Y27-W28</f>
        <v>-83</v>
      </c>
      <c r="AD27" s="33">
        <f>SQRT((AC27*AC27)/COUNT(W18:W27))</f>
        <v>26.246904579397548</v>
      </c>
      <c r="AE27" s="6">
        <f>1/AA27</f>
        <v>2.8571428571428571E-2</v>
      </c>
      <c r="AF27" s="6">
        <f>AE27*EXP(-AE27*(365*1))</f>
        <v>8.4500821304140699E-7</v>
      </c>
      <c r="AG27" s="6">
        <f>1-EXP(-AE27*(365*1))</f>
        <v>0.9999704247125436</v>
      </c>
      <c r="AH27" s="6">
        <f>EXP(-AE27*(365*1))</f>
        <v>2.9575287456449246E-5</v>
      </c>
      <c r="AI27" s="6">
        <f>$F$86/(Y27+$F$86)*100</f>
        <v>99.999807099137541</v>
      </c>
      <c r="AJ27">
        <f t="shared" si="27"/>
        <v>106</v>
      </c>
      <c r="AK27" s="6">
        <f t="shared" si="4"/>
        <v>0.5531208473025554</v>
      </c>
      <c r="AL27" s="6">
        <f t="shared" si="5"/>
        <v>0.30391378008182041</v>
      </c>
      <c r="AM27" s="6">
        <f t="shared" si="6"/>
        <v>0.41034529018788096</v>
      </c>
      <c r="AN27" s="6">
        <f t="shared" si="7"/>
        <v>4.8384709791404808E-2</v>
      </c>
      <c r="AO27" s="6">
        <f t="shared" si="8"/>
        <v>0.16586017423064001</v>
      </c>
      <c r="AP27" s="6">
        <f t="shared" si="9"/>
        <v>0.5531208473025554</v>
      </c>
      <c r="AQ27" s="6">
        <f t="shared" si="10"/>
        <v>0.74433459263821511</v>
      </c>
      <c r="AR27" s="6">
        <f t="shared" si="11"/>
        <v>0.74433459263821511</v>
      </c>
      <c r="AS27" s="6">
        <f t="shared" si="12"/>
        <v>0.41034529018788096</v>
      </c>
      <c r="AT27" s="6">
        <f t="shared" si="13"/>
        <v>0.22470704519964657</v>
      </c>
      <c r="AU27" s="6">
        <f t="shared" si="14"/>
        <v>0.30391378008182041</v>
      </c>
      <c r="AV27" s="6">
        <f t="shared" si="15"/>
        <v>0.12512633494043737</v>
      </c>
      <c r="AW27" s="6">
        <f t="shared" si="16"/>
        <v>0.74433459263821511</v>
      </c>
      <c r="AX27" s="6">
        <f t="shared" si="17"/>
        <v>0.30391378008182041</v>
      </c>
      <c r="AY27" s="6">
        <f t="shared" si="18"/>
        <v>0.74433459263821511</v>
      </c>
      <c r="AZ27" s="6">
        <f t="shared" si="19"/>
        <v>0.41034529018788096</v>
      </c>
      <c r="BA27" s="6">
        <f t="shared" si="20"/>
        <v>0.12003162851145673</v>
      </c>
      <c r="BB27" s="6">
        <f t="shared" si="21"/>
        <v>0.83781195364651073</v>
      </c>
      <c r="BC27" s="6">
        <f t="shared" si="22"/>
        <v>0.74433459263821511</v>
      </c>
      <c r="BD27" s="6">
        <f t="shared" si="23"/>
        <v>0.88877711646320656</v>
      </c>
      <c r="BE27" s="6">
        <f t="shared" si="24"/>
        <v>0.74433459263821511</v>
      </c>
      <c r="BF27" s="6">
        <f t="shared" si="25"/>
        <v>0.74372094719898496</v>
      </c>
      <c r="BG27" s="6">
        <f t="shared" si="26"/>
        <v>0.94278065846425885</v>
      </c>
    </row>
    <row r="28" spans="2:59" x14ac:dyDescent="0.25">
      <c r="B28" s="6">
        <f t="shared" si="2"/>
        <v>730</v>
      </c>
      <c r="C28" s="10">
        <v>1</v>
      </c>
      <c r="D28" s="5">
        <v>40918</v>
      </c>
      <c r="E28" s="6" t="s">
        <v>342</v>
      </c>
      <c r="F28" s="33">
        <v>60</v>
      </c>
      <c r="G28" s="31"/>
      <c r="H28" s="31"/>
      <c r="I28" s="31"/>
      <c r="J28" s="31"/>
      <c r="K28" s="31"/>
      <c r="L28" s="6">
        <f t="shared" si="0"/>
        <v>-261.03896103896102</v>
      </c>
      <c r="M28" s="6">
        <f t="shared" si="30"/>
        <v>29.748150478424972</v>
      </c>
      <c r="N28" s="31"/>
      <c r="O28" s="31"/>
      <c r="P28" s="31"/>
      <c r="Q28" s="31"/>
      <c r="R28" s="31"/>
      <c r="T28" s="31"/>
      <c r="U28" s="31"/>
      <c r="V28" s="43" t="s">
        <v>235</v>
      </c>
      <c r="W28" s="6">
        <f>AVERAGE(W18:W27)</f>
        <v>84</v>
      </c>
      <c r="X28" s="31"/>
      <c r="Y28" s="31"/>
      <c r="Z28" s="31"/>
      <c r="AA28" s="31"/>
      <c r="AB28" s="31"/>
      <c r="AC28" s="31"/>
      <c r="AD28" s="31"/>
      <c r="AE28" s="31"/>
      <c r="AF28" s="31"/>
      <c r="AG28" s="31"/>
      <c r="AH28" s="31"/>
      <c r="AI28" s="31"/>
      <c r="AJ28">
        <f t="shared" si="27"/>
        <v>111</v>
      </c>
      <c r="AK28" s="6">
        <f t="shared" si="4"/>
        <v>0.53788433542864633</v>
      </c>
      <c r="AL28" s="6">
        <f t="shared" si="5"/>
        <v>0.28731071699579769</v>
      </c>
      <c r="AM28" s="6">
        <f t="shared" si="6"/>
        <v>0.39346108551448272</v>
      </c>
      <c r="AN28" s="6">
        <f t="shared" si="7"/>
        <v>4.1943635603995055E-2</v>
      </c>
      <c r="AO28" s="6">
        <f t="shared" si="8"/>
        <v>0.15238334412762369</v>
      </c>
      <c r="AP28" s="6">
        <f t="shared" si="9"/>
        <v>0.53788433542864633</v>
      </c>
      <c r="AQ28" s="6">
        <f t="shared" si="10"/>
        <v>0.73403967363308709</v>
      </c>
      <c r="AR28" s="6">
        <f t="shared" si="11"/>
        <v>0.73403967363308709</v>
      </c>
      <c r="AS28" s="6">
        <f t="shared" si="12"/>
        <v>0.39346108551448272</v>
      </c>
      <c r="AT28" s="6">
        <f t="shared" si="13"/>
        <v>0.20942695127461608</v>
      </c>
      <c r="AU28" s="6">
        <f t="shared" si="14"/>
        <v>0.28731071699579769</v>
      </c>
      <c r="AV28" s="6">
        <f t="shared" si="15"/>
        <v>0.11344120564253239</v>
      </c>
      <c r="AW28" s="6">
        <f t="shared" si="16"/>
        <v>0.73403967363308709</v>
      </c>
      <c r="AX28" s="6">
        <f t="shared" si="17"/>
        <v>0.28731071699579769</v>
      </c>
      <c r="AY28" s="6">
        <f t="shared" si="18"/>
        <v>0.73403967363308709</v>
      </c>
      <c r="AZ28" s="6">
        <f t="shared" si="19"/>
        <v>0.39346108551448272</v>
      </c>
      <c r="BA28" s="6">
        <f t="shared" si="20"/>
        <v>0.10860910882495796</v>
      </c>
      <c r="BB28" s="6">
        <f t="shared" si="21"/>
        <v>0.83084763852391563</v>
      </c>
      <c r="BC28" s="6">
        <f t="shared" si="22"/>
        <v>0.73403967363308709</v>
      </c>
      <c r="BD28" s="6">
        <f t="shared" si="23"/>
        <v>0.88384769421259135</v>
      </c>
      <c r="BE28" s="6">
        <f t="shared" si="24"/>
        <v>0.73403967363308709</v>
      </c>
      <c r="BF28" s="6">
        <f t="shared" si="25"/>
        <v>0.73340598267852053</v>
      </c>
      <c r="BG28" s="6">
        <f t="shared" si="26"/>
        <v>0.94016400552942414</v>
      </c>
    </row>
    <row r="29" spans="2:59" x14ac:dyDescent="0.25">
      <c r="B29" s="6">
        <f t="shared" si="2"/>
        <v>731</v>
      </c>
      <c r="C29" s="10">
        <v>1</v>
      </c>
      <c r="D29" s="5">
        <v>40919</v>
      </c>
      <c r="E29" s="6" t="s">
        <v>342</v>
      </c>
      <c r="F29" s="33">
        <v>150</v>
      </c>
      <c r="G29" s="31"/>
      <c r="H29" s="31"/>
      <c r="I29" s="31"/>
      <c r="J29" s="31"/>
      <c r="K29" s="31"/>
      <c r="L29" s="6">
        <f t="shared" si="0"/>
        <v>-171.03896103896102</v>
      </c>
      <c r="M29" s="6">
        <f t="shared" si="30"/>
        <v>19.491698597057553</v>
      </c>
      <c r="N29" s="31"/>
      <c r="O29" s="31"/>
      <c r="P29" s="31"/>
      <c r="Q29" s="31"/>
      <c r="R29" s="31"/>
      <c r="T29" s="6">
        <f t="shared" ref="T29:T34" si="31">DAYS360("31-12-2009",U29)</f>
        <v>1482</v>
      </c>
      <c r="U29" s="5">
        <v>41682</v>
      </c>
      <c r="V29" s="6" t="s">
        <v>347</v>
      </c>
      <c r="W29" s="6">
        <v>180</v>
      </c>
      <c r="X29" s="31"/>
      <c r="Y29" s="31"/>
      <c r="Z29" s="31"/>
      <c r="AA29" s="31"/>
      <c r="AB29" s="31"/>
      <c r="AC29" s="31"/>
      <c r="AD29" s="31"/>
      <c r="AE29" s="31"/>
      <c r="AF29" s="31"/>
      <c r="AG29" s="31"/>
      <c r="AH29" s="31"/>
      <c r="AI29" s="31"/>
      <c r="AJ29">
        <f t="shared" si="27"/>
        <v>116</v>
      </c>
      <c r="AK29" s="6">
        <f t="shared" si="4"/>
        <v>0.52306753526008321</v>
      </c>
      <c r="AL29" s="6">
        <f t="shared" si="5"/>
        <v>0.27161469308307018</v>
      </c>
      <c r="AM29" s="6">
        <f t="shared" si="6"/>
        <v>0.37727160397857362</v>
      </c>
      <c r="AN29" s="6">
        <f t="shared" si="7"/>
        <v>3.6360010740278177E-2</v>
      </c>
      <c r="AO29" s="6">
        <f t="shared" si="8"/>
        <v>0.14000156261278149</v>
      </c>
      <c r="AP29" s="6">
        <f t="shared" si="9"/>
        <v>0.52306753526008321</v>
      </c>
      <c r="AQ29" s="6">
        <f t="shared" si="10"/>
        <v>0.7238871440296748</v>
      </c>
      <c r="AR29" s="6">
        <f t="shared" si="11"/>
        <v>0.7238871440296748</v>
      </c>
      <c r="AS29" s="6">
        <f t="shared" si="12"/>
        <v>0.37727160397857362</v>
      </c>
      <c r="AT29" s="6">
        <f t="shared" si="13"/>
        <v>0.19518590474638758</v>
      </c>
      <c r="AU29" s="6">
        <f t="shared" si="14"/>
        <v>0.27161469308307018</v>
      </c>
      <c r="AV29" s="6">
        <f t="shared" si="15"/>
        <v>0.10284731142934196</v>
      </c>
      <c r="AW29" s="6">
        <f t="shared" si="16"/>
        <v>0.7238871440296748</v>
      </c>
      <c r="AX29" s="6">
        <f t="shared" si="17"/>
        <v>0.27161469308307018</v>
      </c>
      <c r="AY29" s="6">
        <f t="shared" si="18"/>
        <v>0.7238871440296748</v>
      </c>
      <c r="AZ29" s="6">
        <f t="shared" si="19"/>
        <v>0.37727160397857362</v>
      </c>
      <c r="BA29" s="6">
        <f t="shared" si="20"/>
        <v>9.8273585604361544E-2</v>
      </c>
      <c r="BB29" s="6">
        <f t="shared" si="21"/>
        <v>0.8239412142978586</v>
      </c>
      <c r="BC29" s="6">
        <f t="shared" si="22"/>
        <v>0.7238871440296748</v>
      </c>
      <c r="BD29" s="6">
        <f t="shared" si="23"/>
        <v>0.87894561200401222</v>
      </c>
      <c r="BE29" s="6">
        <f t="shared" si="24"/>
        <v>0.7238871440296748</v>
      </c>
      <c r="BF29" s="6">
        <f t="shared" si="25"/>
        <v>0.72323408054383276</v>
      </c>
      <c r="BG29" s="6">
        <f t="shared" si="26"/>
        <v>0.93755461501827186</v>
      </c>
    </row>
    <row r="30" spans="2:59" x14ac:dyDescent="0.25">
      <c r="B30" s="6">
        <f t="shared" si="2"/>
        <v>732</v>
      </c>
      <c r="C30" s="10">
        <v>1</v>
      </c>
      <c r="D30" s="5">
        <v>40920</v>
      </c>
      <c r="E30" s="6" t="s">
        <v>342</v>
      </c>
      <c r="F30" s="33">
        <v>60</v>
      </c>
      <c r="G30" s="31"/>
      <c r="H30" s="31"/>
      <c r="I30" s="31"/>
      <c r="J30" s="31"/>
      <c r="K30" s="31"/>
      <c r="L30" s="6">
        <f t="shared" si="0"/>
        <v>-261.03896103896102</v>
      </c>
      <c r="M30" s="6">
        <f t="shared" si="30"/>
        <v>29.748150478424972</v>
      </c>
      <c r="N30" s="31"/>
      <c r="O30" s="31"/>
      <c r="P30" s="31"/>
      <c r="Q30" s="31"/>
      <c r="R30" s="31"/>
      <c r="T30" s="6">
        <f t="shared" si="31"/>
        <v>1483</v>
      </c>
      <c r="U30" s="5">
        <v>41683</v>
      </c>
      <c r="V30" s="6" t="s">
        <v>347</v>
      </c>
      <c r="W30" s="6">
        <v>60</v>
      </c>
      <c r="X30" s="31"/>
      <c r="Y30" s="31"/>
      <c r="Z30" s="31"/>
      <c r="AA30" s="31"/>
      <c r="AB30" s="31"/>
      <c r="AC30" s="31"/>
      <c r="AD30" s="31"/>
      <c r="AE30" s="31"/>
      <c r="AF30" s="31"/>
      <c r="AG30" s="31"/>
      <c r="AH30" s="31"/>
      <c r="AI30" s="31"/>
      <c r="AJ30">
        <f t="shared" si="27"/>
        <v>121</v>
      </c>
      <c r="AK30" s="6">
        <f t="shared" si="4"/>
        <v>0.50865888523231229</v>
      </c>
      <c r="AL30" s="6">
        <f t="shared" si="5"/>
        <v>0.25677615603767917</v>
      </c>
      <c r="AM30" s="6">
        <f t="shared" si="6"/>
        <v>0.36174826026937951</v>
      </c>
      <c r="AN30" s="6">
        <f t="shared" si="7"/>
        <v>3.1519689745426391E-2</v>
      </c>
      <c r="AO30" s="6">
        <f t="shared" si="8"/>
        <v>0.12862585242652813</v>
      </c>
      <c r="AP30" s="6">
        <f t="shared" si="9"/>
        <v>0.50865888523231229</v>
      </c>
      <c r="AQ30" s="6">
        <f t="shared" si="10"/>
        <v>0.7138750344349496</v>
      </c>
      <c r="AR30" s="6">
        <f t="shared" si="11"/>
        <v>0.7138750344349496</v>
      </c>
      <c r="AS30" s="6">
        <f t="shared" si="12"/>
        <v>0.36174826026937951</v>
      </c>
      <c r="AT30" s="6">
        <f t="shared" si="13"/>
        <v>0.18191325032330527</v>
      </c>
      <c r="AU30" s="6">
        <f t="shared" si="14"/>
        <v>0.25677615603767917</v>
      </c>
      <c r="AV30" s="6">
        <f t="shared" si="15"/>
        <v>9.3242745511497083E-2</v>
      </c>
      <c r="AW30" s="6">
        <f t="shared" si="16"/>
        <v>0.7138750344349496</v>
      </c>
      <c r="AX30" s="6">
        <f t="shared" si="17"/>
        <v>0.25677615603767917</v>
      </c>
      <c r="AY30" s="6">
        <f t="shared" si="18"/>
        <v>0.7138750344349496</v>
      </c>
      <c r="AZ30" s="6">
        <f t="shared" si="19"/>
        <v>0.36174826026937951</v>
      </c>
      <c r="BA30" s="6">
        <f t="shared" si="20"/>
        <v>8.8921617459386343E-2</v>
      </c>
      <c r="BB30" s="6">
        <f t="shared" si="21"/>
        <v>0.81709219975003688</v>
      </c>
      <c r="BC30" s="6">
        <f t="shared" si="22"/>
        <v>0.7138750344349496</v>
      </c>
      <c r="BD30" s="6">
        <f t="shared" si="23"/>
        <v>0.87407071820146398</v>
      </c>
      <c r="BE30" s="6">
        <f t="shared" si="24"/>
        <v>0.7138750344349496</v>
      </c>
      <c r="BF30" s="6">
        <f t="shared" si="25"/>
        <v>0.71320325660523476</v>
      </c>
      <c r="BG30" s="6">
        <f t="shared" si="26"/>
        <v>0.93495246677421306</v>
      </c>
    </row>
    <row r="31" spans="2:59" x14ac:dyDescent="0.25">
      <c r="B31" s="6">
        <f t="shared" si="2"/>
        <v>742</v>
      </c>
      <c r="C31" s="10">
        <v>1</v>
      </c>
      <c r="D31" s="5">
        <v>40930</v>
      </c>
      <c r="E31" s="6" t="s">
        <v>342</v>
      </c>
      <c r="F31" s="33">
        <v>120</v>
      </c>
      <c r="G31" s="31"/>
      <c r="H31" s="31"/>
      <c r="I31" s="31"/>
      <c r="J31" s="31"/>
      <c r="K31" s="31"/>
      <c r="L31" s="6">
        <f t="shared" si="0"/>
        <v>-201.03896103896102</v>
      </c>
      <c r="M31" s="6">
        <f t="shared" si="30"/>
        <v>22.910515890846693</v>
      </c>
      <c r="N31" s="31"/>
      <c r="O31" s="31"/>
      <c r="P31" s="31"/>
      <c r="Q31" s="31"/>
      <c r="R31" s="31"/>
      <c r="T31" s="6">
        <f t="shared" si="31"/>
        <v>1514</v>
      </c>
      <c r="U31" s="5">
        <v>41712</v>
      </c>
      <c r="V31" s="6" t="s">
        <v>347</v>
      </c>
      <c r="W31" s="6">
        <v>30</v>
      </c>
      <c r="X31" s="31"/>
      <c r="Y31" s="31"/>
      <c r="Z31" s="31"/>
      <c r="AA31" s="31"/>
      <c r="AB31" s="31"/>
      <c r="AC31" s="31"/>
      <c r="AD31" s="31"/>
      <c r="AE31" s="31"/>
      <c r="AF31" s="31"/>
      <c r="AG31" s="31"/>
      <c r="AH31" s="31"/>
      <c r="AI31" s="31"/>
      <c r="AJ31">
        <f t="shared" si="27"/>
        <v>126</v>
      </c>
      <c r="AK31" s="6">
        <f t="shared" si="4"/>
        <v>0.4946471422607584</v>
      </c>
      <c r="AL31" s="6">
        <f t="shared" si="5"/>
        <v>0.24274826063743693</v>
      </c>
      <c r="AM31" s="6">
        <f t="shared" si="6"/>
        <v>0.34686364525689234</v>
      </c>
      <c r="AN31" s="6">
        <f t="shared" si="7"/>
        <v>2.7323722447292559E-2</v>
      </c>
      <c r="AO31" s="6">
        <f t="shared" si="8"/>
        <v>0.11817446608228456</v>
      </c>
      <c r="AP31" s="6">
        <f t="shared" si="9"/>
        <v>0.4946471422607584</v>
      </c>
      <c r="AQ31" s="6">
        <f t="shared" si="10"/>
        <v>0.70400140269462974</v>
      </c>
      <c r="AR31" s="6">
        <f t="shared" si="11"/>
        <v>0.70400140269462974</v>
      </c>
      <c r="AS31" s="6">
        <f t="shared" si="12"/>
        <v>0.34686364525689234</v>
      </c>
      <c r="AT31" s="6">
        <f t="shared" si="13"/>
        <v>0.16954313727821566</v>
      </c>
      <c r="AU31" s="6">
        <f t="shared" si="14"/>
        <v>0.24274826063743693</v>
      </c>
      <c r="AV31" s="6">
        <f t="shared" si="15"/>
        <v>8.4535117833341666E-2</v>
      </c>
      <c r="AW31" s="6">
        <f t="shared" si="16"/>
        <v>0.70400140269462974</v>
      </c>
      <c r="AX31" s="6">
        <f t="shared" si="17"/>
        <v>0.24274826063743693</v>
      </c>
      <c r="AY31" s="6">
        <f t="shared" si="18"/>
        <v>0.70400140269462974</v>
      </c>
      <c r="AZ31" s="6">
        <f t="shared" si="19"/>
        <v>0.34686364525689234</v>
      </c>
      <c r="BA31" s="6">
        <f t="shared" si="20"/>
        <v>8.0459606749532439E-2</v>
      </c>
      <c r="BB31" s="6">
        <f t="shared" si="21"/>
        <v>0.81030011766227683</v>
      </c>
      <c r="BC31" s="6">
        <f t="shared" si="22"/>
        <v>0.70400140269462974</v>
      </c>
      <c r="BD31" s="6">
        <f t="shared" si="23"/>
        <v>0.86922286200995968</v>
      </c>
      <c r="BE31" s="6">
        <f t="shared" si="24"/>
        <v>0.70400140269462974</v>
      </c>
      <c r="BF31" s="6">
        <f t="shared" si="25"/>
        <v>0.70331155419256297</v>
      </c>
      <c r="BG31" s="6">
        <f t="shared" si="26"/>
        <v>0.93235754069660259</v>
      </c>
    </row>
    <row r="32" spans="2:59" x14ac:dyDescent="0.25">
      <c r="B32" s="6">
        <f t="shared" si="2"/>
        <v>748</v>
      </c>
      <c r="C32" s="10">
        <v>1</v>
      </c>
      <c r="D32" s="5">
        <v>40936</v>
      </c>
      <c r="E32" s="6" t="s">
        <v>342</v>
      </c>
      <c r="F32" s="33">
        <v>90</v>
      </c>
      <c r="G32" s="31"/>
      <c r="H32" s="31"/>
      <c r="I32" s="31"/>
      <c r="J32" s="31"/>
      <c r="K32" s="31"/>
      <c r="L32" s="6">
        <f t="shared" si="0"/>
        <v>-231.03896103896102</v>
      </c>
      <c r="M32" s="6">
        <f t="shared" si="30"/>
        <v>26.329333184635832</v>
      </c>
      <c r="N32" s="31"/>
      <c r="O32" s="31"/>
      <c r="P32" s="31"/>
      <c r="Q32" s="31"/>
      <c r="R32" s="31"/>
      <c r="T32" s="6">
        <f t="shared" si="31"/>
        <v>1579</v>
      </c>
      <c r="U32" s="5">
        <v>41778</v>
      </c>
      <c r="V32" s="6" t="s">
        <v>358</v>
      </c>
      <c r="W32" s="6">
        <v>480</v>
      </c>
      <c r="X32" s="31"/>
      <c r="Y32" s="31"/>
      <c r="Z32" s="31"/>
      <c r="AA32" s="31"/>
      <c r="AB32" s="31"/>
      <c r="AC32" s="31"/>
      <c r="AD32" s="31"/>
      <c r="AE32" s="31"/>
      <c r="AF32" s="31"/>
      <c r="AG32" s="31"/>
      <c r="AH32" s="31"/>
      <c r="AI32" s="31"/>
      <c r="AJ32">
        <f t="shared" si="27"/>
        <v>131</v>
      </c>
      <c r="AK32" s="6">
        <f t="shared" si="4"/>
        <v>0.48102137296783437</v>
      </c>
      <c r="AL32" s="6">
        <f t="shared" si="5"/>
        <v>0.22948672085368443</v>
      </c>
      <c r="AM32" s="6">
        <f t="shared" si="6"/>
        <v>0.33259147759634267</v>
      </c>
      <c r="AN32" s="6">
        <f t="shared" si="7"/>
        <v>2.3686331128465868E-2</v>
      </c>
      <c r="AO32" s="6">
        <f t="shared" si="8"/>
        <v>0.10857229841730333</v>
      </c>
      <c r="AP32" s="6">
        <f t="shared" si="9"/>
        <v>0.48102137296783437</v>
      </c>
      <c r="AQ32" s="6">
        <f t="shared" si="10"/>
        <v>0.69426433351644024</v>
      </c>
      <c r="AR32" s="6">
        <f t="shared" si="11"/>
        <v>0.69426433351644024</v>
      </c>
      <c r="AS32" s="6">
        <f t="shared" si="12"/>
        <v>0.33259147759634267</v>
      </c>
      <c r="AT32" s="6">
        <f t="shared" si="13"/>
        <v>0.1580141927377641</v>
      </c>
      <c r="AU32" s="6">
        <f t="shared" si="14"/>
        <v>0.22948672085368443</v>
      </c>
      <c r="AV32" s="6">
        <f t="shared" si="15"/>
        <v>7.6640666337048372E-2</v>
      </c>
      <c r="AW32" s="6">
        <f t="shared" si="16"/>
        <v>0.69426433351644024</v>
      </c>
      <c r="AX32" s="6">
        <f t="shared" si="17"/>
        <v>0.22948672085368443</v>
      </c>
      <c r="AY32" s="6">
        <f t="shared" si="18"/>
        <v>0.69426433351644024</v>
      </c>
      <c r="AZ32" s="6">
        <f t="shared" si="19"/>
        <v>0.33259147759634267</v>
      </c>
      <c r="BA32" s="6">
        <f t="shared" si="20"/>
        <v>7.2802862827435588E-2</v>
      </c>
      <c r="BB32" s="6">
        <f t="shared" si="21"/>
        <v>0.80356449478328307</v>
      </c>
      <c r="BC32" s="6">
        <f t="shared" si="22"/>
        <v>0.69426433351644024</v>
      </c>
      <c r="BD32" s="6">
        <f t="shared" si="23"/>
        <v>0.86440189347086627</v>
      </c>
      <c r="BE32" s="6">
        <f t="shared" si="24"/>
        <v>0.69426433351644024</v>
      </c>
      <c r="BF32" s="6">
        <f t="shared" si="25"/>
        <v>0.69355704377349836</v>
      </c>
      <c r="BG32" s="6">
        <f t="shared" si="26"/>
        <v>0.9297698167405839</v>
      </c>
    </row>
    <row r="33" spans="2:59" x14ac:dyDescent="0.25">
      <c r="B33" s="6">
        <f t="shared" si="2"/>
        <v>753</v>
      </c>
      <c r="C33" s="10">
        <v>1</v>
      </c>
      <c r="D33" s="5">
        <v>40942</v>
      </c>
      <c r="E33" s="6" t="s">
        <v>342</v>
      </c>
      <c r="F33" s="33">
        <v>60</v>
      </c>
      <c r="G33" s="31"/>
      <c r="H33" s="31"/>
      <c r="I33" s="31"/>
      <c r="J33" s="31"/>
      <c r="K33" s="31"/>
      <c r="L33" s="6">
        <f t="shared" si="0"/>
        <v>-261.03896103896102</v>
      </c>
      <c r="M33" s="6">
        <f t="shared" si="30"/>
        <v>29.748150478424972</v>
      </c>
      <c r="N33" s="31"/>
      <c r="O33" s="31"/>
      <c r="P33" s="31"/>
      <c r="Q33" s="31"/>
      <c r="R33" s="31"/>
      <c r="T33" s="6">
        <f t="shared" si="31"/>
        <v>1582</v>
      </c>
      <c r="U33" s="5">
        <v>41781</v>
      </c>
      <c r="V33" s="6" t="s">
        <v>347</v>
      </c>
      <c r="W33" s="6">
        <v>30</v>
      </c>
      <c r="X33" s="31"/>
      <c r="Y33" s="31"/>
      <c r="Z33" s="31"/>
      <c r="AA33" s="31"/>
      <c r="AB33" s="31"/>
      <c r="AC33" s="31"/>
      <c r="AD33" s="31"/>
      <c r="AE33" s="31"/>
      <c r="AF33" s="31"/>
      <c r="AG33" s="31"/>
      <c r="AH33" s="31"/>
      <c r="AI33" s="31"/>
      <c r="AJ33">
        <f t="shared" si="27"/>
        <v>136</v>
      </c>
      <c r="AK33" s="6">
        <f t="shared" si="4"/>
        <v>0.46777094515161527</v>
      </c>
      <c r="AL33" s="6">
        <f t="shared" si="5"/>
        <v>0.21694967004041621</v>
      </c>
      <c r="AM33" s="6">
        <f t="shared" si="6"/>
        <v>0.31890655732397044</v>
      </c>
      <c r="AN33" s="6">
        <f t="shared" si="7"/>
        <v>2.0533156981431842E-2</v>
      </c>
      <c r="AO33" s="6">
        <f t="shared" si="8"/>
        <v>9.9750346876185988E-2</v>
      </c>
      <c r="AP33" s="6">
        <f t="shared" si="9"/>
        <v>0.46777094515161527</v>
      </c>
      <c r="AQ33" s="6">
        <f t="shared" si="10"/>
        <v>0.68466193809858422</v>
      </c>
      <c r="AR33" s="6">
        <f t="shared" si="11"/>
        <v>0.68466193809858422</v>
      </c>
      <c r="AS33" s="6">
        <f t="shared" si="12"/>
        <v>0.31890655732397044</v>
      </c>
      <c r="AT33" s="6">
        <f t="shared" si="13"/>
        <v>0.1472692171880402</v>
      </c>
      <c r="AU33" s="6">
        <f t="shared" si="14"/>
        <v>0.21694967004041621</v>
      </c>
      <c r="AV33" s="6">
        <f t="shared" si="15"/>
        <v>6.9483451222801543E-2</v>
      </c>
      <c r="AW33" s="6">
        <f t="shared" si="16"/>
        <v>0.68466193809858422</v>
      </c>
      <c r="AX33" s="6">
        <f t="shared" si="17"/>
        <v>0.21694967004041621</v>
      </c>
      <c r="AY33" s="6">
        <f t="shared" si="18"/>
        <v>0.68466193809858422</v>
      </c>
      <c r="AZ33" s="6">
        <f t="shared" si="19"/>
        <v>0.31890655732397044</v>
      </c>
      <c r="BA33" s="6">
        <f t="shared" si="20"/>
        <v>6.5874754426402948E-2</v>
      </c>
      <c r="BB33" s="6">
        <f t="shared" si="21"/>
        <v>0.79688486179566298</v>
      </c>
      <c r="BC33" s="6">
        <f t="shared" si="22"/>
        <v>0.68466193809858422</v>
      </c>
      <c r="BD33" s="6">
        <f t="shared" si="23"/>
        <v>0.85960766345726569</v>
      </c>
      <c r="BE33" s="6">
        <f t="shared" si="24"/>
        <v>0.68466193809858422</v>
      </c>
      <c r="BF33" s="6">
        <f t="shared" si="25"/>
        <v>0.68393782257718083</v>
      </c>
      <c r="BG33" s="6">
        <f t="shared" si="26"/>
        <v>0.92718927491693426</v>
      </c>
    </row>
    <row r="34" spans="2:59" x14ac:dyDescent="0.25">
      <c r="B34" s="6">
        <f t="shared" si="2"/>
        <v>756</v>
      </c>
      <c r="C34" s="10">
        <v>1</v>
      </c>
      <c r="D34" s="5">
        <v>40945</v>
      </c>
      <c r="E34" s="6" t="s">
        <v>342</v>
      </c>
      <c r="F34" s="33">
        <v>150</v>
      </c>
      <c r="G34" s="31"/>
      <c r="H34" s="31"/>
      <c r="I34" s="31"/>
      <c r="J34" s="31"/>
      <c r="K34" s="31"/>
      <c r="L34" s="6">
        <f t="shared" si="0"/>
        <v>-171.03896103896102</v>
      </c>
      <c r="M34" s="6">
        <f t="shared" si="30"/>
        <v>19.491698597057553</v>
      </c>
      <c r="N34" s="31"/>
      <c r="O34" s="31"/>
      <c r="P34" s="31"/>
      <c r="Q34" s="31"/>
      <c r="R34" s="31"/>
      <c r="T34" s="6">
        <f t="shared" si="31"/>
        <v>1730</v>
      </c>
      <c r="U34" s="5">
        <v>41932</v>
      </c>
      <c r="V34" s="6" t="s">
        <v>347</v>
      </c>
      <c r="W34" s="6">
        <v>600</v>
      </c>
      <c r="X34" s="33">
        <f>COUNT(W29:W34)</f>
        <v>6</v>
      </c>
      <c r="Y34" s="33">
        <f>SUM(W29:W34)</f>
        <v>1380</v>
      </c>
      <c r="Z34" s="6">
        <f>($F$86-Y34)/X34</f>
        <v>86170</v>
      </c>
      <c r="AA34" s="6">
        <f>INT(Z34/60/24)</f>
        <v>59</v>
      </c>
      <c r="AB34" s="6">
        <f>Y34/X34</f>
        <v>230</v>
      </c>
      <c r="AC34" s="6">
        <f>Y34-W35</f>
        <v>1150</v>
      </c>
      <c r="AD34" s="33">
        <f>SQRT((AC34*AC34)/COUNT(W29:W34))</f>
        <v>469.48553403344243</v>
      </c>
      <c r="AE34" s="6">
        <f>1/AA34</f>
        <v>1.6949152542372881E-2</v>
      </c>
      <c r="AF34" s="6">
        <f>AE34*EXP(-AE34*(365*1))</f>
        <v>3.4866707569814251E-5</v>
      </c>
      <c r="AG34" s="6">
        <f>1-EXP(-AE34*(365*1))</f>
        <v>0.99794286425338097</v>
      </c>
      <c r="AH34" s="6">
        <f>EXP(-AE34*(365*1))</f>
        <v>2.0571357466190408E-3</v>
      </c>
      <c r="AI34" s="6">
        <f>$F$86/(Y34+$F$86)*100</f>
        <v>99.73450305898649</v>
      </c>
      <c r="AJ34">
        <f t="shared" si="27"/>
        <v>141</v>
      </c>
      <c r="AK34" s="6">
        <f t="shared" si="4"/>
        <v>0.45488551948951989</v>
      </c>
      <c r="AL34" s="6">
        <f t="shared" si="5"/>
        <v>0.20509752876138934</v>
      </c>
      <c r="AM34" s="6">
        <f t="shared" si="6"/>
        <v>0.30578472136216034</v>
      </c>
      <c r="AN34" s="6">
        <f t="shared" si="7"/>
        <v>1.7799739999304415E-2</v>
      </c>
      <c r="AO34" s="6">
        <f t="shared" si="8"/>
        <v>9.164521564861397E-2</v>
      </c>
      <c r="AP34" s="6">
        <f t="shared" si="9"/>
        <v>0.45488551948951989</v>
      </c>
      <c r="AQ34" s="6">
        <f t="shared" si="10"/>
        <v>0.67519235376335118</v>
      </c>
      <c r="AR34" s="6">
        <f t="shared" si="11"/>
        <v>0.67519235376335118</v>
      </c>
      <c r="AS34" s="6">
        <f t="shared" si="12"/>
        <v>0.30578472136216034</v>
      </c>
      <c r="AT34" s="6">
        <f t="shared" si="13"/>
        <v>0.13725490068586005</v>
      </c>
      <c r="AU34" s="6">
        <f t="shared" si="14"/>
        <v>0.20509752876138934</v>
      </c>
      <c r="AV34" s="6">
        <f t="shared" si="15"/>
        <v>6.2994624454323064E-2</v>
      </c>
      <c r="AW34" s="6">
        <f t="shared" si="16"/>
        <v>0.67519235376335118</v>
      </c>
      <c r="AX34" s="6">
        <f t="shared" si="17"/>
        <v>0.20509752876138934</v>
      </c>
      <c r="AY34" s="6">
        <f t="shared" si="18"/>
        <v>0.67519235376335118</v>
      </c>
      <c r="AZ34" s="6">
        <f t="shared" si="19"/>
        <v>0.30578472136216034</v>
      </c>
      <c r="BA34" s="6">
        <f t="shared" si="20"/>
        <v>5.9605942708939368E-2</v>
      </c>
      <c r="BB34" s="6">
        <f t="shared" si="21"/>
        <v>0.79026075328322687</v>
      </c>
      <c r="BC34" s="6">
        <f t="shared" si="22"/>
        <v>0.67519235376335118</v>
      </c>
      <c r="BD34" s="6">
        <f t="shared" si="23"/>
        <v>0.85484002366934264</v>
      </c>
      <c r="BE34" s="6">
        <f t="shared" si="24"/>
        <v>0.67519235376335118</v>
      </c>
      <c r="BF34" s="6">
        <f t="shared" si="25"/>
        <v>0.67445201422304302</v>
      </c>
      <c r="BG34" s="6">
        <f t="shared" si="26"/>
        <v>0.92461589529191013</v>
      </c>
    </row>
    <row r="35" spans="2:59" x14ac:dyDescent="0.25">
      <c r="B35" s="6">
        <f t="shared" si="2"/>
        <v>779</v>
      </c>
      <c r="C35" s="10">
        <v>1</v>
      </c>
      <c r="D35" s="5">
        <v>40968</v>
      </c>
      <c r="E35" s="6" t="s">
        <v>342</v>
      </c>
      <c r="F35" s="33">
        <v>240</v>
      </c>
      <c r="G35" s="31"/>
      <c r="H35" s="31"/>
      <c r="I35" s="31"/>
      <c r="J35" s="31"/>
      <c r="K35" s="31"/>
      <c r="L35" s="6">
        <f t="shared" si="0"/>
        <v>-81.03896103896102</v>
      </c>
      <c r="M35" s="6">
        <f t="shared" si="30"/>
        <v>9.2352467156901383</v>
      </c>
      <c r="N35" s="31"/>
      <c r="O35" s="31"/>
      <c r="P35" s="31"/>
      <c r="Q35" s="31"/>
      <c r="R35" s="31"/>
      <c r="T35" s="31"/>
      <c r="U35" s="31"/>
      <c r="V35" s="43" t="s">
        <v>235</v>
      </c>
      <c r="W35" s="6">
        <f>AVERAGE(W29:W34)</f>
        <v>230</v>
      </c>
      <c r="X35" s="31"/>
      <c r="Y35" s="31"/>
      <c r="Z35" s="31"/>
      <c r="AA35" s="31"/>
      <c r="AB35" s="31"/>
      <c r="AC35" s="31"/>
      <c r="AD35" s="31"/>
      <c r="AE35" s="31"/>
      <c r="AF35" s="31"/>
      <c r="AG35" s="31"/>
      <c r="AH35" s="31"/>
      <c r="AI35" s="31"/>
      <c r="AJ35">
        <f t="shared" si="27"/>
        <v>146</v>
      </c>
      <c r="AK35" s="6">
        <f t="shared" si="4"/>
        <v>0.44235504147052696</v>
      </c>
      <c r="AL35" s="6">
        <f t="shared" si="5"/>
        <v>0.19389287983794812</v>
      </c>
      <c r="AM35" s="6">
        <f t="shared" si="6"/>
        <v>0.29320280085537731</v>
      </c>
      <c r="AN35" s="6">
        <f t="shared" si="7"/>
        <v>1.5430201226696305E-2</v>
      </c>
      <c r="AO35" s="6">
        <f t="shared" si="8"/>
        <v>8.4198660097953626E-2</v>
      </c>
      <c r="AP35" s="6">
        <f t="shared" si="9"/>
        <v>0.44235504147052696</v>
      </c>
      <c r="AQ35" s="6">
        <f t="shared" si="10"/>
        <v>0.66585374359579441</v>
      </c>
      <c r="AR35" s="6">
        <f t="shared" si="11"/>
        <v>0.66585374359579441</v>
      </c>
      <c r="AS35" s="6">
        <f t="shared" si="12"/>
        <v>0.29320280085537731</v>
      </c>
      <c r="AT35" s="6">
        <f t="shared" si="13"/>
        <v>0.12792155836769953</v>
      </c>
      <c r="AU35" s="6">
        <f t="shared" si="14"/>
        <v>0.19389287983794812</v>
      </c>
      <c r="AV35" s="6">
        <f t="shared" si="15"/>
        <v>5.7111767482829937E-2</v>
      </c>
      <c r="AW35" s="6">
        <f t="shared" si="16"/>
        <v>0.66585374359579441</v>
      </c>
      <c r="AX35" s="6">
        <f t="shared" si="17"/>
        <v>0.19389287983794812</v>
      </c>
      <c r="AY35" s="6">
        <f t="shared" si="18"/>
        <v>0.66585374359579441</v>
      </c>
      <c r="AZ35" s="6">
        <f t="shared" si="19"/>
        <v>0.29320280085537731</v>
      </c>
      <c r="BA35" s="6">
        <f t="shared" si="20"/>
        <v>5.3933687300356019E-2</v>
      </c>
      <c r="BB35" s="6">
        <f t="shared" si="21"/>
        <v>0.78369170769855878</v>
      </c>
      <c r="BC35" s="6">
        <f t="shared" si="22"/>
        <v>0.66585374359579441</v>
      </c>
      <c r="BD35" s="6">
        <f t="shared" si="23"/>
        <v>0.85009882662979608</v>
      </c>
      <c r="BE35" s="6">
        <f t="shared" si="24"/>
        <v>0.66585374359579441</v>
      </c>
      <c r="BF35" s="6">
        <f t="shared" si="25"/>
        <v>0.66509776835479384</v>
      </c>
      <c r="BG35" s="6">
        <f t="shared" si="26"/>
        <v>0.92204965798709371</v>
      </c>
    </row>
    <row r="36" spans="2:59" x14ac:dyDescent="0.25">
      <c r="B36" s="6">
        <f t="shared" si="2"/>
        <v>783</v>
      </c>
      <c r="C36" s="10">
        <v>1</v>
      </c>
      <c r="D36" s="5">
        <v>40971</v>
      </c>
      <c r="E36" s="6" t="s">
        <v>342</v>
      </c>
      <c r="F36" s="33">
        <v>120</v>
      </c>
      <c r="G36" s="31"/>
      <c r="H36" s="31"/>
      <c r="I36" s="31"/>
      <c r="J36" s="31"/>
      <c r="K36" s="31"/>
      <c r="L36" s="6">
        <f t="shared" si="0"/>
        <v>-201.03896103896102</v>
      </c>
      <c r="M36" s="6">
        <f t="shared" si="30"/>
        <v>22.910515890846693</v>
      </c>
      <c r="N36" s="31"/>
      <c r="O36" s="31"/>
      <c r="P36" s="31"/>
      <c r="Q36" s="31"/>
      <c r="R36" s="31"/>
      <c r="T36" s="6">
        <f>DAYS360("31-12-2009",U36)</f>
        <v>1865</v>
      </c>
      <c r="U36" s="5">
        <v>42068</v>
      </c>
      <c r="V36" s="6" t="s">
        <v>347</v>
      </c>
      <c r="W36" s="30">
        <v>50</v>
      </c>
      <c r="X36" s="31"/>
      <c r="Y36" s="31"/>
      <c r="Z36" s="31"/>
      <c r="AA36" s="31"/>
      <c r="AB36" s="31"/>
      <c r="AC36" s="31"/>
      <c r="AD36" s="31"/>
      <c r="AE36" s="31"/>
      <c r="AF36" s="31"/>
      <c r="AG36" s="31"/>
      <c r="AH36" s="31"/>
      <c r="AI36" s="31"/>
      <c r="AJ36">
        <f t="shared" si="27"/>
        <v>151</v>
      </c>
      <c r="AK36" s="6">
        <f t="shared" si="4"/>
        <v>0.43016973354962967</v>
      </c>
      <c r="AL36" s="6">
        <f t="shared" si="5"/>
        <v>0.1833003502230903</v>
      </c>
      <c r="AM36" s="6">
        <f t="shared" si="6"/>
        <v>0.28113858026157157</v>
      </c>
      <c r="AN36" s="6">
        <f t="shared" si="7"/>
        <v>1.3376100432121176E-2</v>
      </c>
      <c r="AO36" s="6">
        <f t="shared" si="8"/>
        <v>7.735716820693575E-2</v>
      </c>
      <c r="AP36" s="6">
        <f t="shared" si="9"/>
        <v>0.43016973354962967</v>
      </c>
      <c r="AQ36" s="6">
        <f t="shared" si="10"/>
        <v>0.65664429608740515</v>
      </c>
      <c r="AR36" s="6">
        <f t="shared" si="11"/>
        <v>0.65664429608740515</v>
      </c>
      <c r="AS36" s="6">
        <f t="shared" si="12"/>
        <v>0.28113858026157157</v>
      </c>
      <c r="AT36" s="6">
        <f t="shared" si="13"/>
        <v>0.11922288394403803</v>
      </c>
      <c r="AU36" s="6">
        <f t="shared" si="14"/>
        <v>0.1833003502230903</v>
      </c>
      <c r="AV36" s="6">
        <f t="shared" si="15"/>
        <v>5.1778290818733343E-2</v>
      </c>
      <c r="AW36" s="6">
        <f t="shared" si="16"/>
        <v>0.65664429608740515</v>
      </c>
      <c r="AX36" s="6">
        <f t="shared" si="17"/>
        <v>0.1833003502230903</v>
      </c>
      <c r="AY36" s="6">
        <f t="shared" si="18"/>
        <v>0.65664429608740515</v>
      </c>
      <c r="AZ36" s="6">
        <f t="shared" si="19"/>
        <v>0.28113858026157157</v>
      </c>
      <c r="BA36" s="6">
        <f t="shared" si="20"/>
        <v>4.8801218362012962E-2</v>
      </c>
      <c r="BB36" s="6">
        <f t="shared" si="21"/>
        <v>0.77717726733085768</v>
      </c>
      <c r="BC36" s="6">
        <f t="shared" si="22"/>
        <v>0.65664429608740515</v>
      </c>
      <c r="BD36" s="6">
        <f t="shared" si="23"/>
        <v>0.84538392567927823</v>
      </c>
      <c r="BE36" s="6">
        <f t="shared" si="24"/>
        <v>0.65664429608740515</v>
      </c>
      <c r="BF36" s="6">
        <f t="shared" si="25"/>
        <v>0.65587326027947634</v>
      </c>
      <c r="BG36" s="6">
        <f t="shared" si="26"/>
        <v>0.91949054317923862</v>
      </c>
    </row>
    <row r="37" spans="2:59" x14ac:dyDescent="0.25">
      <c r="B37" s="6">
        <f t="shared" si="2"/>
        <v>784</v>
      </c>
      <c r="C37" s="10">
        <v>1</v>
      </c>
      <c r="D37" s="5">
        <v>40972</v>
      </c>
      <c r="E37" s="6" t="s">
        <v>342</v>
      </c>
      <c r="F37" s="33">
        <v>90</v>
      </c>
      <c r="G37" s="31"/>
      <c r="H37" s="31"/>
      <c r="I37" s="31"/>
      <c r="J37" s="31"/>
      <c r="K37" s="31"/>
      <c r="L37" s="6">
        <f t="shared" si="0"/>
        <v>-231.03896103896102</v>
      </c>
      <c r="M37" s="6">
        <f t="shared" si="30"/>
        <v>26.329333184635832</v>
      </c>
      <c r="N37" s="31"/>
      <c r="O37" s="31"/>
      <c r="P37" s="31"/>
      <c r="Q37" s="31"/>
      <c r="R37" s="31"/>
      <c r="T37" s="6">
        <f>DAYS360("31-12-2009",U37)</f>
        <v>1890</v>
      </c>
      <c r="U37" s="5">
        <v>42093</v>
      </c>
      <c r="V37" s="6" t="s">
        <v>347</v>
      </c>
      <c r="W37" s="30">
        <v>20</v>
      </c>
      <c r="X37" s="33">
        <f>COUNT(W36:W37)</f>
        <v>2</v>
      </c>
      <c r="Y37" s="33">
        <f>SUM(W36:W37)</f>
        <v>70</v>
      </c>
      <c r="Z37" s="6">
        <f>($F$86-Y37)/X37</f>
        <v>259165</v>
      </c>
      <c r="AA37" s="6">
        <f>INT(Z37/60/24)</f>
        <v>179</v>
      </c>
      <c r="AB37" s="6">
        <f>Y37/X37</f>
        <v>35</v>
      </c>
      <c r="AC37" s="6">
        <f>Y37-W38</f>
        <v>35</v>
      </c>
      <c r="AD37" s="33">
        <f>SQRT((AC37*AC37)/COUNT(W36:W37))</f>
        <v>24.748737341529164</v>
      </c>
      <c r="AE37" s="6">
        <f>1/AA37</f>
        <v>5.5865921787709499E-3</v>
      </c>
      <c r="AF37" s="6">
        <f>AE37*EXP(-AE37*(365*1))</f>
        <v>7.2706698111458005E-4</v>
      </c>
      <c r="AG37" s="6">
        <f>1-EXP(-AE37*(365*1))</f>
        <v>0.86985501038049018</v>
      </c>
      <c r="AH37" s="6">
        <f>EXP(-AE37*(365*1))</f>
        <v>0.13014498961950982</v>
      </c>
      <c r="AI37" s="6">
        <f>$F$86/(Y37+$F$86)*100</f>
        <v>99.9864987366675</v>
      </c>
      <c r="AJ37">
        <f t="shared" si="27"/>
        <v>156</v>
      </c>
      <c r="AK37" s="6">
        <f t="shared" si="4"/>
        <v>0.41832008751840699</v>
      </c>
      <c r="AL37" s="6">
        <f t="shared" si="5"/>
        <v>0.17328649932885085</v>
      </c>
      <c r="AM37" s="6">
        <f t="shared" si="6"/>
        <v>0.26957075812682357</v>
      </c>
      <c r="AN37" s="6">
        <f t="shared" si="7"/>
        <v>1.1595445849444698E-2</v>
      </c>
      <c r="AO37" s="6">
        <f t="shared" si="8"/>
        <v>7.107157603261656E-2</v>
      </c>
      <c r="AP37" s="6">
        <f t="shared" si="9"/>
        <v>0.41832008751840699</v>
      </c>
      <c r="AQ37" s="6">
        <f t="shared" si="10"/>
        <v>0.64756222478471492</v>
      </c>
      <c r="AR37" s="6">
        <f t="shared" si="11"/>
        <v>0.64756222478471492</v>
      </c>
      <c r="AS37" s="6">
        <f t="shared" si="12"/>
        <v>0.26957075812682357</v>
      </c>
      <c r="AT37" s="6">
        <f t="shared" si="13"/>
        <v>0.11111571995610277</v>
      </c>
      <c r="AU37" s="6">
        <f t="shared" si="14"/>
        <v>0.17328649932885085</v>
      </c>
      <c r="AV37" s="6">
        <f t="shared" si="15"/>
        <v>4.6942889675325485E-2</v>
      </c>
      <c r="AW37" s="6">
        <f t="shared" si="16"/>
        <v>0.64756222478471492</v>
      </c>
      <c r="AX37" s="6">
        <f t="shared" si="17"/>
        <v>0.17328649932885085</v>
      </c>
      <c r="AY37" s="6">
        <f t="shared" si="18"/>
        <v>0.64756222478471492</v>
      </c>
      <c r="AZ37" s="6">
        <f t="shared" si="19"/>
        <v>0.26957075812682357</v>
      </c>
      <c r="BA37" s="6">
        <f t="shared" si="20"/>
        <v>4.415716841969286E-2</v>
      </c>
      <c r="BB37" s="6">
        <f t="shared" si="21"/>
        <v>0.77071697827404495</v>
      </c>
      <c r="BC37" s="6">
        <f t="shared" si="22"/>
        <v>0.64756222478471492</v>
      </c>
      <c r="BD37" s="6">
        <f t="shared" si="23"/>
        <v>0.84069517497185797</v>
      </c>
      <c r="BE37" s="6">
        <f t="shared" si="24"/>
        <v>0.64756222478471492</v>
      </c>
      <c r="BF37" s="6">
        <f t="shared" si="25"/>
        <v>0.6467766906115332</v>
      </c>
      <c r="BG37" s="6">
        <f t="shared" si="26"/>
        <v>0.91693853110011736</v>
      </c>
    </row>
    <row r="38" spans="2:59" x14ac:dyDescent="0.25">
      <c r="B38" s="6">
        <f t="shared" si="2"/>
        <v>795</v>
      </c>
      <c r="C38" s="10">
        <v>1</v>
      </c>
      <c r="D38" s="5">
        <v>40983</v>
      </c>
      <c r="E38" s="6" t="s">
        <v>342</v>
      </c>
      <c r="F38" s="33">
        <v>30</v>
      </c>
      <c r="G38" s="31"/>
      <c r="H38" s="31"/>
      <c r="I38" s="31"/>
      <c r="J38" s="31"/>
      <c r="K38" s="31"/>
      <c r="L38" s="6">
        <f t="shared" ref="L38:L69" si="32">F38-$F$83</f>
        <v>-291.03896103896102</v>
      </c>
      <c r="M38" s="6">
        <f t="shared" si="30"/>
        <v>33.166967772214107</v>
      </c>
      <c r="N38" s="31"/>
      <c r="O38" s="31"/>
      <c r="P38" s="31"/>
      <c r="Q38" s="31"/>
      <c r="R38" s="31"/>
      <c r="T38" s="31"/>
      <c r="U38" s="31"/>
      <c r="V38" s="43" t="s">
        <v>235</v>
      </c>
      <c r="W38" s="6">
        <f>AVERAGE(W36:W37)</f>
        <v>35</v>
      </c>
      <c r="X38" s="31"/>
      <c r="Y38" s="31"/>
      <c r="Z38" s="31"/>
      <c r="AA38" s="31"/>
      <c r="AB38" s="31"/>
      <c r="AC38" s="31"/>
      <c r="AD38" s="31"/>
      <c r="AE38" s="31"/>
      <c r="AF38" s="31"/>
      <c r="AG38" s="31"/>
      <c r="AH38" s="31"/>
      <c r="AI38" s="31"/>
      <c r="AJ38">
        <f t="shared" si="27"/>
        <v>161</v>
      </c>
      <c r="AK38" s="6">
        <f t="shared" si="4"/>
        <v>0.40679685708575891</v>
      </c>
      <c r="AL38" s="6">
        <f t="shared" si="5"/>
        <v>0.16381971345445456</v>
      </c>
      <c r="AM38" s="6">
        <f t="shared" si="6"/>
        <v>0.25847890947396718</v>
      </c>
      <c r="AN38" s="6">
        <f t="shared" si="7"/>
        <v>1.0051835744633586E-2</v>
      </c>
      <c r="AO38" s="6">
        <f t="shared" si="8"/>
        <v>6.5296714407225634E-2</v>
      </c>
      <c r="AP38" s="6">
        <f t="shared" si="9"/>
        <v>0.40679685708575891</v>
      </c>
      <c r="AQ38" s="6">
        <f t="shared" si="10"/>
        <v>0.63860576794275881</v>
      </c>
      <c r="AR38" s="6">
        <f t="shared" si="11"/>
        <v>0.63860576794275881</v>
      </c>
      <c r="AS38" s="6">
        <f t="shared" si="12"/>
        <v>0.25847890947396718</v>
      </c>
      <c r="AT38" s="6">
        <f t="shared" si="13"/>
        <v>0.10355984365517003</v>
      </c>
      <c r="AU38" s="6">
        <f t="shared" si="14"/>
        <v>0.16381971345445456</v>
      </c>
      <c r="AV38" s="6">
        <f t="shared" si="15"/>
        <v>4.2559050448079012E-2</v>
      </c>
      <c r="AW38" s="6">
        <f t="shared" si="16"/>
        <v>0.63860576794275881</v>
      </c>
      <c r="AX38" s="6">
        <f t="shared" si="17"/>
        <v>0.16381971345445456</v>
      </c>
      <c r="AY38" s="6">
        <f t="shared" si="18"/>
        <v>0.63860576794275881</v>
      </c>
      <c r="AZ38" s="6">
        <f t="shared" si="19"/>
        <v>0.25847890947396718</v>
      </c>
      <c r="BA38" s="6">
        <f t="shared" si="20"/>
        <v>3.9955058260653896E-2</v>
      </c>
      <c r="BB38" s="6">
        <f t="shared" si="21"/>
        <v>0.76431039039513848</v>
      </c>
      <c r="BC38" s="6">
        <f t="shared" si="22"/>
        <v>0.63860576794275881</v>
      </c>
      <c r="BD38" s="6">
        <f t="shared" si="23"/>
        <v>0.83603242947050849</v>
      </c>
      <c r="BE38" s="6">
        <f t="shared" si="24"/>
        <v>0.63860576794275881</v>
      </c>
      <c r="BF38" s="6">
        <f t="shared" si="25"/>
        <v>0.63780628492180824</v>
      </c>
      <c r="BG38" s="6">
        <f t="shared" si="26"/>
        <v>0.91439360203636821</v>
      </c>
    </row>
    <row r="39" spans="2:59" x14ac:dyDescent="0.25">
      <c r="B39" s="6">
        <f t="shared" si="2"/>
        <v>833</v>
      </c>
      <c r="C39" s="14">
        <v>1</v>
      </c>
      <c r="D39" s="5">
        <v>41022</v>
      </c>
      <c r="E39" s="6" t="s">
        <v>342</v>
      </c>
      <c r="F39" s="33">
        <v>150</v>
      </c>
      <c r="G39" s="31"/>
      <c r="H39" s="31"/>
      <c r="I39" s="31"/>
      <c r="J39" s="31"/>
      <c r="K39" s="31"/>
      <c r="L39" s="6">
        <f t="shared" si="32"/>
        <v>-171.03896103896102</v>
      </c>
      <c r="M39" s="6">
        <f t="shared" si="30"/>
        <v>19.491698597057553</v>
      </c>
      <c r="N39" s="31"/>
      <c r="O39" s="31"/>
      <c r="P39" s="31"/>
      <c r="Q39" s="31"/>
      <c r="R39" s="31"/>
      <c r="T39" s="6">
        <f>DAYS360("31-12-2009",U39)</f>
        <v>655</v>
      </c>
      <c r="U39" s="5">
        <v>40841</v>
      </c>
      <c r="V39" s="6" t="s">
        <v>348</v>
      </c>
      <c r="W39" s="33">
        <v>180</v>
      </c>
      <c r="X39" s="33">
        <f>COUNT(W39)</f>
        <v>1</v>
      </c>
      <c r="Y39" s="33">
        <f>SUM(W39)</f>
        <v>180</v>
      </c>
      <c r="Z39" s="6">
        <f>($F$86-Y39)/X39</f>
        <v>518220</v>
      </c>
      <c r="AA39" s="6">
        <f>INT(Z39/60/24)</f>
        <v>359</v>
      </c>
      <c r="AB39" s="6">
        <f>Y39/X39</f>
        <v>180</v>
      </c>
      <c r="AC39" s="6">
        <f>Y39-W40</f>
        <v>0</v>
      </c>
      <c r="AD39" s="33">
        <f>SQRT((AC39*AC39)/COUNT(W39))</f>
        <v>0</v>
      </c>
      <c r="AE39" s="6">
        <f>1/AA39</f>
        <v>2.7855153203342618E-3</v>
      </c>
      <c r="AF39" s="6">
        <f>AE39*EXP(-AE39*(365*1))</f>
        <v>1.007749673042332E-3</v>
      </c>
      <c r="AG39" s="6">
        <f>1-EXP(-AE39*(365*1))</f>
        <v>0.63821786737780273</v>
      </c>
      <c r="AH39" s="6">
        <f>EXP(-AE39*(365*1))</f>
        <v>0.36178213262219722</v>
      </c>
      <c r="AI39" s="6">
        <f>$F$86/(Y39+$F$86)*100</f>
        <v>99.965289829920167</v>
      </c>
      <c r="AJ39">
        <f t="shared" si="27"/>
        <v>166</v>
      </c>
      <c r="AK39" s="6">
        <f t="shared" si="4"/>
        <v>0.39559105066301581</v>
      </c>
      <c r="AL39" s="6">
        <f t="shared" si="5"/>
        <v>0.15487010598194637</v>
      </c>
      <c r="AM39" s="6">
        <f t="shared" si="6"/>
        <v>0.24784344973878408</v>
      </c>
      <c r="AN39" s="6">
        <f t="shared" si="7"/>
        <v>8.7137142589417613E-3</v>
      </c>
      <c r="AO39" s="6">
        <f t="shared" si="8"/>
        <v>5.9991084346041286E-2</v>
      </c>
      <c r="AP39" s="6">
        <f t="shared" si="9"/>
        <v>0.39559105066301581</v>
      </c>
      <c r="AQ39" s="6">
        <f t="shared" si="10"/>
        <v>0.62977318818333095</v>
      </c>
      <c r="AR39" s="6">
        <f t="shared" si="11"/>
        <v>0.62977318818333095</v>
      </c>
      <c r="AS39" s="6">
        <f t="shared" si="12"/>
        <v>0.24784344973878408</v>
      </c>
      <c r="AT39" s="6">
        <f t="shared" si="13"/>
        <v>9.6517767442087621E-2</v>
      </c>
      <c r="AU39" s="6">
        <f t="shared" si="14"/>
        <v>0.15487010598194637</v>
      </c>
      <c r="AV39" s="6">
        <f t="shared" si="15"/>
        <v>3.8584603282191869E-2</v>
      </c>
      <c r="AW39" s="6">
        <f t="shared" si="16"/>
        <v>0.62977318818333095</v>
      </c>
      <c r="AX39" s="6">
        <f t="shared" si="17"/>
        <v>0.15487010598194637</v>
      </c>
      <c r="AY39" s="6">
        <f t="shared" si="18"/>
        <v>0.62977318818333095</v>
      </c>
      <c r="AZ39" s="6">
        <f t="shared" si="19"/>
        <v>0.24784344973878408</v>
      </c>
      <c r="BA39" s="6">
        <f t="shared" si="20"/>
        <v>3.6152831754046412E-2</v>
      </c>
      <c r="BB39" s="6">
        <f t="shared" si="21"/>
        <v>0.75795705730288809</v>
      </c>
      <c r="BC39" s="6">
        <f t="shared" si="22"/>
        <v>0.62977318818333095</v>
      </c>
      <c r="BD39" s="6">
        <f t="shared" si="23"/>
        <v>0.83139554494262202</v>
      </c>
      <c r="BE39" s="6">
        <f t="shared" si="24"/>
        <v>0.62977318818333095</v>
      </c>
      <c r="BF39" s="6">
        <f t="shared" si="25"/>
        <v>0.62896029339141579</v>
      </c>
      <c r="BG39" s="6">
        <f t="shared" si="26"/>
        <v>0.91185573632934358</v>
      </c>
    </row>
    <row r="40" spans="2:59" x14ac:dyDescent="0.25">
      <c r="B40" s="6">
        <f t="shared" si="2"/>
        <v>858</v>
      </c>
      <c r="C40" s="14">
        <v>1</v>
      </c>
      <c r="D40" s="5">
        <v>41047</v>
      </c>
      <c r="E40" s="6" t="s">
        <v>342</v>
      </c>
      <c r="F40" s="33">
        <v>30</v>
      </c>
      <c r="G40" s="31"/>
      <c r="H40" s="31"/>
      <c r="I40" s="31"/>
      <c r="J40" s="31"/>
      <c r="K40" s="31"/>
      <c r="L40" s="6">
        <f t="shared" si="32"/>
        <v>-291.03896103896102</v>
      </c>
      <c r="M40" s="6">
        <f t="shared" si="30"/>
        <v>33.166967772214107</v>
      </c>
      <c r="N40" s="31"/>
      <c r="O40" s="31"/>
      <c r="P40" s="31"/>
      <c r="Q40" s="31"/>
      <c r="R40" s="31"/>
      <c r="T40" s="31"/>
      <c r="U40" s="31"/>
      <c r="V40" s="43" t="s">
        <v>235</v>
      </c>
      <c r="W40" s="6">
        <f>AVERAGE(W39)</f>
        <v>180</v>
      </c>
      <c r="X40" s="31"/>
      <c r="Y40" s="31"/>
      <c r="Z40" s="31"/>
      <c r="AA40" s="31"/>
      <c r="AB40" s="31"/>
      <c r="AC40" s="31"/>
      <c r="AD40" s="31"/>
      <c r="AE40" s="31"/>
      <c r="AF40" s="31"/>
      <c r="AG40" s="31"/>
      <c r="AH40" s="31"/>
      <c r="AI40" s="31"/>
      <c r="AJ40">
        <f t="shared" si="27"/>
        <v>171</v>
      </c>
      <c r="AK40" s="6">
        <f t="shared" si="4"/>
        <v>0.38469392434779259</v>
      </c>
      <c r="AL40" s="6">
        <f t="shared" si="5"/>
        <v>0.14640942302421725</v>
      </c>
      <c r="AM40" s="6">
        <f t="shared" si="6"/>
        <v>0.23764560019009123</v>
      </c>
      <c r="AN40" s="6">
        <f t="shared" si="7"/>
        <v>7.5537263158146489E-3</v>
      </c>
      <c r="AO40" s="6">
        <f t="shared" si="8"/>
        <v>5.5116558829728636E-2</v>
      </c>
      <c r="AP40" s="6">
        <f t="shared" si="9"/>
        <v>0.38469392434779259</v>
      </c>
      <c r="AQ40" s="6">
        <f t="shared" si="10"/>
        <v>0.62106277215796701</v>
      </c>
      <c r="AR40" s="6">
        <f t="shared" si="11"/>
        <v>0.62106277215796701</v>
      </c>
      <c r="AS40" s="6">
        <f t="shared" si="12"/>
        <v>0.23764560019009123</v>
      </c>
      <c r="AT40" s="6">
        <f t="shared" si="13"/>
        <v>8.995455287692336E-2</v>
      </c>
      <c r="AU40" s="6">
        <f t="shared" si="14"/>
        <v>0.14640942302421725</v>
      </c>
      <c r="AV40" s="6">
        <f t="shared" si="15"/>
        <v>3.4981316424350116E-2</v>
      </c>
      <c r="AW40" s="6">
        <f t="shared" si="16"/>
        <v>0.62106277215796701</v>
      </c>
      <c r="AX40" s="6">
        <f t="shared" si="17"/>
        <v>0.14640942302421725</v>
      </c>
      <c r="AY40" s="6">
        <f t="shared" si="18"/>
        <v>0.62106277215796701</v>
      </c>
      <c r="AZ40" s="6">
        <f t="shared" si="19"/>
        <v>0.23764560019009123</v>
      </c>
      <c r="BA40" s="6">
        <f t="shared" si="20"/>
        <v>3.2712434939019819E-2</v>
      </c>
      <c r="BB40" s="6">
        <f t="shared" si="21"/>
        <v>0.7516565363166724</v>
      </c>
      <c r="BC40" s="6">
        <f t="shared" si="22"/>
        <v>0.62106277215796701</v>
      </c>
      <c r="BD40" s="6">
        <f t="shared" si="23"/>
        <v>0.82678437795554738</v>
      </c>
      <c r="BE40" s="6">
        <f t="shared" si="24"/>
        <v>0.62106277215796701</v>
      </c>
      <c r="BF40" s="6">
        <f t="shared" si="25"/>
        <v>0.62023699047041092</v>
      </c>
      <c r="BG40" s="6">
        <f t="shared" si="26"/>
        <v>0.90932491437495744</v>
      </c>
    </row>
    <row r="41" spans="2:59" x14ac:dyDescent="0.25">
      <c r="B41" s="6">
        <f t="shared" si="2"/>
        <v>880</v>
      </c>
      <c r="C41" s="14">
        <v>1</v>
      </c>
      <c r="D41" s="5">
        <v>41070</v>
      </c>
      <c r="E41" s="6" t="s">
        <v>342</v>
      </c>
      <c r="F41" s="33">
        <v>90</v>
      </c>
      <c r="G41" s="31"/>
      <c r="H41" s="31"/>
      <c r="I41" s="31"/>
      <c r="J41" s="31"/>
      <c r="K41" s="31"/>
      <c r="L41" s="6">
        <f t="shared" si="32"/>
        <v>-231.03896103896102</v>
      </c>
      <c r="M41" s="6">
        <f t="shared" si="30"/>
        <v>26.329333184635832</v>
      </c>
      <c r="N41" s="31"/>
      <c r="O41" s="31"/>
      <c r="P41" s="31"/>
      <c r="Q41" s="31"/>
      <c r="R41" s="31"/>
      <c r="T41" s="6">
        <f>DAYS360("31-12-2009",U41)</f>
        <v>1105</v>
      </c>
      <c r="U41" s="5">
        <v>41299</v>
      </c>
      <c r="V41" s="6" t="s">
        <v>348</v>
      </c>
      <c r="W41" s="33">
        <v>360</v>
      </c>
      <c r="X41" s="33">
        <f>COUNT(W41)</f>
        <v>1</v>
      </c>
      <c r="Y41" s="33">
        <f>SUM(W41)</f>
        <v>360</v>
      </c>
      <c r="Z41" s="6">
        <f>($F$86-Y41)/X41</f>
        <v>518040</v>
      </c>
      <c r="AA41" s="6">
        <f>INT(Z41/60/24)</f>
        <v>359</v>
      </c>
      <c r="AB41" s="6">
        <f>Y41/X41</f>
        <v>360</v>
      </c>
      <c r="AC41" s="6">
        <f>Y41-W42</f>
        <v>0</v>
      </c>
      <c r="AD41" s="33">
        <f>SQRT((AC41*AC41)/COUNT(W41))</f>
        <v>0</v>
      </c>
      <c r="AE41" s="6">
        <f>1/AA41</f>
        <v>2.7855153203342618E-3</v>
      </c>
      <c r="AF41" s="6">
        <f>AE41*EXP(-AE41*(365*1))</f>
        <v>1.007749673042332E-3</v>
      </c>
      <c r="AG41" s="6">
        <f>1-EXP(-AE41*(365*1))</f>
        <v>0.63821786737780273</v>
      </c>
      <c r="AH41" s="6">
        <f>EXP(-AE41*(365*1))</f>
        <v>0.36178213262219722</v>
      </c>
      <c r="AI41" s="6">
        <f>$F$86/(Y41+$F$86)*100</f>
        <v>99.93060374739764</v>
      </c>
      <c r="AJ41">
        <f t="shared" si="27"/>
        <v>176</v>
      </c>
      <c r="AK41" s="6">
        <f t="shared" si="4"/>
        <v>0.37409697510111256</v>
      </c>
      <c r="AL41" s="6">
        <f t="shared" si="5"/>
        <v>0.13841095422755781</v>
      </c>
      <c r="AM41" s="6">
        <f t="shared" si="6"/>
        <v>0.22786735477266509</v>
      </c>
      <c r="AN41" s="6">
        <f t="shared" si="7"/>
        <v>6.5481584039410777E-3</v>
      </c>
      <c r="AO41" s="6">
        <f t="shared" si="8"/>
        <v>5.063810881810471E-2</v>
      </c>
      <c r="AP41" s="6">
        <f t="shared" si="9"/>
        <v>0.37409697510111256</v>
      </c>
      <c r="AQ41" s="6">
        <f t="shared" si="10"/>
        <v>0.61247283021558807</v>
      </c>
      <c r="AR41" s="6">
        <f t="shared" si="11"/>
        <v>0.61247283021558807</v>
      </c>
      <c r="AS41" s="6">
        <f t="shared" si="12"/>
        <v>0.22786735477266509</v>
      </c>
      <c r="AT41" s="6">
        <f t="shared" si="13"/>
        <v>8.3837637335969606E-2</v>
      </c>
      <c r="AU41" s="6">
        <f t="shared" si="14"/>
        <v>0.13841095422755781</v>
      </c>
      <c r="AV41" s="6">
        <f t="shared" si="15"/>
        <v>3.1714528456621031E-2</v>
      </c>
      <c r="AW41" s="6">
        <f t="shared" si="16"/>
        <v>0.61247283021558807</v>
      </c>
      <c r="AX41" s="6">
        <f t="shared" si="17"/>
        <v>0.13841095422755781</v>
      </c>
      <c r="AY41" s="6">
        <f t="shared" si="18"/>
        <v>0.61247283021558807</v>
      </c>
      <c r="AZ41" s="6">
        <f t="shared" si="19"/>
        <v>0.22786735477266509</v>
      </c>
      <c r="BA41" s="6">
        <f t="shared" si="20"/>
        <v>2.9599435167891999E-2</v>
      </c>
      <c r="BB41" s="6">
        <f t="shared" si="21"/>
        <v>0.74540838843565493</v>
      </c>
      <c r="BC41" s="6">
        <f t="shared" si="22"/>
        <v>0.61247283021558807</v>
      </c>
      <c r="BD41" s="6">
        <f t="shared" si="23"/>
        <v>0.82219878587215378</v>
      </c>
      <c r="BE41" s="6">
        <f t="shared" si="24"/>
        <v>0.61247283021558807</v>
      </c>
      <c r="BF41" s="6">
        <f t="shared" si="25"/>
        <v>0.61163467454119413</v>
      </c>
      <c r="BG41" s="6">
        <f t="shared" si="26"/>
        <v>0.90680111662353402</v>
      </c>
    </row>
    <row r="42" spans="2:59" x14ac:dyDescent="0.25">
      <c r="B42" s="6">
        <f t="shared" si="2"/>
        <v>909</v>
      </c>
      <c r="C42" s="14">
        <v>1</v>
      </c>
      <c r="D42" s="5">
        <v>41099</v>
      </c>
      <c r="E42" s="6" t="s">
        <v>342</v>
      </c>
      <c r="F42" s="33">
        <v>60</v>
      </c>
      <c r="G42" s="31"/>
      <c r="H42" s="31"/>
      <c r="I42" s="31"/>
      <c r="J42" s="31"/>
      <c r="K42" s="31"/>
      <c r="L42" s="6">
        <f t="shared" si="32"/>
        <v>-261.03896103896102</v>
      </c>
      <c r="M42" s="6">
        <f t="shared" si="30"/>
        <v>29.748150478424972</v>
      </c>
      <c r="N42" s="31"/>
      <c r="O42" s="31"/>
      <c r="P42" s="31"/>
      <c r="Q42" s="31"/>
      <c r="R42" s="31"/>
      <c r="T42" s="31"/>
      <c r="U42" s="31"/>
      <c r="V42" s="43" t="s">
        <v>235</v>
      </c>
      <c r="W42" s="6">
        <f>AVERAGE(W41)</f>
        <v>360</v>
      </c>
      <c r="X42" s="31"/>
      <c r="Y42" s="31"/>
      <c r="Z42" s="31"/>
      <c r="AA42" s="31"/>
      <c r="AB42" s="31"/>
      <c r="AC42" s="31"/>
      <c r="AD42" s="31"/>
      <c r="AE42" s="31"/>
      <c r="AF42" s="31"/>
      <c r="AG42" s="31"/>
      <c r="AH42" s="31"/>
      <c r="AI42" s="31"/>
      <c r="AJ42">
        <f t="shared" si="27"/>
        <v>181</v>
      </c>
      <c r="AK42" s="6">
        <f t="shared" si="4"/>
        <v>0.36379193411247712</v>
      </c>
      <c r="AL42" s="6">
        <f t="shared" si="5"/>
        <v>0.13084944844714186</v>
      </c>
      <c r="AM42" s="6">
        <f t="shared" si="6"/>
        <v>0.21849144831445771</v>
      </c>
      <c r="AN42" s="6">
        <f t="shared" si="7"/>
        <v>5.6764538044399406E-3</v>
      </c>
      <c r="AO42" s="6">
        <f t="shared" si="8"/>
        <v>4.6523551526426808E-2</v>
      </c>
      <c r="AP42" s="6">
        <f t="shared" si="9"/>
        <v>0.36379193411247712</v>
      </c>
      <c r="AQ42" s="6">
        <f t="shared" si="10"/>
        <v>0.60400169607474108</v>
      </c>
      <c r="AR42" s="6">
        <f t="shared" si="11"/>
        <v>0.60400169607474108</v>
      </c>
      <c r="AS42" s="6">
        <f t="shared" si="12"/>
        <v>0.21849144831445771</v>
      </c>
      <c r="AT42" s="6">
        <f t="shared" si="13"/>
        <v>7.8136672456083092E-2</v>
      </c>
      <c r="AU42" s="6">
        <f t="shared" si="14"/>
        <v>0.13084944844714186</v>
      </c>
      <c r="AV42" s="6">
        <f t="shared" si="15"/>
        <v>2.8752814874791019E-2</v>
      </c>
      <c r="AW42" s="6">
        <f t="shared" si="16"/>
        <v>0.60400169607474108</v>
      </c>
      <c r="AX42" s="6">
        <f t="shared" si="17"/>
        <v>0.13084944844714186</v>
      </c>
      <c r="AY42" s="6">
        <f t="shared" si="18"/>
        <v>0.60400169607474108</v>
      </c>
      <c r="AZ42" s="6">
        <f t="shared" si="19"/>
        <v>0.21849144831445771</v>
      </c>
      <c r="BA42" s="6">
        <f t="shared" si="20"/>
        <v>2.6782676492638175E-2</v>
      </c>
      <c r="BB42" s="6">
        <f t="shared" si="21"/>
        <v>0.73921217830819486</v>
      </c>
      <c r="BC42" s="6">
        <f t="shared" si="22"/>
        <v>0.60400169607474108</v>
      </c>
      <c r="BD42" s="6">
        <f t="shared" si="23"/>
        <v>0.81763862684641808</v>
      </c>
      <c r="BE42" s="6">
        <f t="shared" si="24"/>
        <v>0.60400169607474108</v>
      </c>
      <c r="BF42" s="6">
        <f t="shared" si="25"/>
        <v>0.60315166758658401</v>
      </c>
      <c r="BG42" s="6">
        <f t="shared" si="26"/>
        <v>0.90428432357965727</v>
      </c>
    </row>
    <row r="43" spans="2:59" x14ac:dyDescent="0.25">
      <c r="B43" s="6">
        <f t="shared" si="2"/>
        <v>977</v>
      </c>
      <c r="C43" s="14">
        <v>1</v>
      </c>
      <c r="D43" s="5">
        <v>41169</v>
      </c>
      <c r="E43" s="6" t="s">
        <v>342</v>
      </c>
      <c r="F43" s="33">
        <f>3*24*60</f>
        <v>4320</v>
      </c>
      <c r="G43" s="31"/>
      <c r="H43" s="31"/>
      <c r="I43" s="31"/>
      <c r="J43" s="31"/>
      <c r="K43" s="31"/>
      <c r="L43" s="6">
        <f t="shared" si="32"/>
        <v>3998.9610389610389</v>
      </c>
      <c r="M43" s="6">
        <f t="shared" si="30"/>
        <v>455.7239052396327</v>
      </c>
      <c r="N43" s="31"/>
      <c r="O43" s="31"/>
      <c r="P43" s="31"/>
      <c r="Q43" s="31"/>
      <c r="R43" s="31"/>
      <c r="T43" s="6">
        <f>DAYS360("31-12-2009",U43)</f>
        <v>53</v>
      </c>
      <c r="U43" s="5">
        <v>40232</v>
      </c>
      <c r="V43" s="6" t="s">
        <v>349</v>
      </c>
      <c r="W43" s="34">
        <v>180</v>
      </c>
      <c r="X43" s="31"/>
      <c r="Y43" s="31"/>
      <c r="Z43" s="31"/>
      <c r="AA43" s="31"/>
      <c r="AB43" s="31"/>
      <c r="AC43" s="31"/>
      <c r="AD43" s="31"/>
      <c r="AE43" s="31"/>
      <c r="AF43" s="31"/>
      <c r="AG43" s="31"/>
      <c r="AH43" s="31"/>
      <c r="AI43" s="31"/>
      <c r="AJ43">
        <f t="shared" si="27"/>
        <v>186</v>
      </c>
      <c r="AK43" s="6">
        <f t="shared" si="4"/>
        <v>0.35377076034770455</v>
      </c>
      <c r="AL43" s="6">
        <f t="shared" si="5"/>
        <v>0.12370103402922936</v>
      </c>
      <c r="AM43" s="6">
        <f t="shared" si="6"/>
        <v>0.20950132604196997</v>
      </c>
      <c r="AN43" s="6">
        <f t="shared" si="7"/>
        <v>4.920792352021826E-3</v>
      </c>
      <c r="AO43" s="6">
        <f t="shared" si="8"/>
        <v>4.2743319155280818E-2</v>
      </c>
      <c r="AP43" s="6">
        <f t="shared" si="9"/>
        <v>0.35377076034770455</v>
      </c>
      <c r="AQ43" s="6">
        <f t="shared" si="10"/>
        <v>0.5956477265003729</v>
      </c>
      <c r="AR43" s="6">
        <f t="shared" si="11"/>
        <v>0.5956477265003729</v>
      </c>
      <c r="AS43" s="6">
        <f t="shared" si="12"/>
        <v>0.20950132604196997</v>
      </c>
      <c r="AT43" s="6">
        <f t="shared" si="13"/>
        <v>7.2823373564819993E-2</v>
      </c>
      <c r="AU43" s="6">
        <f t="shared" si="14"/>
        <v>0.12370103402922936</v>
      </c>
      <c r="AV43" s="6">
        <f t="shared" si="15"/>
        <v>2.6067685803835703E-2</v>
      </c>
      <c r="AW43" s="6">
        <f t="shared" si="16"/>
        <v>0.5956477265003729</v>
      </c>
      <c r="AX43" s="6">
        <f t="shared" si="17"/>
        <v>0.12370103402922936</v>
      </c>
      <c r="AY43" s="6">
        <f t="shared" si="18"/>
        <v>0.5956477265003729</v>
      </c>
      <c r="AZ43" s="6">
        <f t="shared" si="19"/>
        <v>0.20950132604196997</v>
      </c>
      <c r="BA43" s="6">
        <f t="shared" si="20"/>
        <v>2.4233967845691113E-2</v>
      </c>
      <c r="BB43" s="6">
        <f t="shared" si="21"/>
        <v>0.73306747420151375</v>
      </c>
      <c r="BC43" s="6">
        <f t="shared" si="22"/>
        <v>0.5956477265003729</v>
      </c>
      <c r="BD43" s="6">
        <f t="shared" si="23"/>
        <v>0.81310375981903771</v>
      </c>
      <c r="BE43" s="6">
        <f t="shared" si="24"/>
        <v>0.5956477265003729</v>
      </c>
      <c r="BF43" s="6">
        <f t="shared" si="25"/>
        <v>0.59478631486249289</v>
      </c>
      <c r="BG43" s="6">
        <f t="shared" si="26"/>
        <v>0.90177451580201984</v>
      </c>
    </row>
    <row r="44" spans="2:59" x14ac:dyDescent="0.25">
      <c r="B44" s="6">
        <f t="shared" si="2"/>
        <v>982</v>
      </c>
      <c r="C44" s="14">
        <v>1</v>
      </c>
      <c r="D44" s="5">
        <v>41174</v>
      </c>
      <c r="E44" s="6" t="s">
        <v>342</v>
      </c>
      <c r="F44" s="33">
        <f>6*24*60</f>
        <v>8640</v>
      </c>
      <c r="G44" s="31"/>
      <c r="H44" s="31"/>
      <c r="I44" s="31"/>
      <c r="J44" s="31"/>
      <c r="K44" s="31"/>
      <c r="L44" s="6">
        <f t="shared" si="32"/>
        <v>8318.9610389610389</v>
      </c>
      <c r="M44" s="6">
        <f t="shared" si="30"/>
        <v>948.03359554526855</v>
      </c>
      <c r="N44" s="31"/>
      <c r="O44" s="31"/>
      <c r="P44" s="31"/>
      <c r="Q44" s="31"/>
      <c r="R44" s="31"/>
      <c r="T44" s="6">
        <f t="shared" ref="T44:T45" si="33">DAYS360("31-12-2009",U44)</f>
        <v>97</v>
      </c>
      <c r="U44" s="5">
        <v>40275</v>
      </c>
      <c r="V44" s="6" t="s">
        <v>349</v>
      </c>
      <c r="W44" s="34">
        <v>120</v>
      </c>
      <c r="X44" s="31"/>
      <c r="Y44" s="31"/>
      <c r="Z44" s="31"/>
      <c r="AA44" s="31"/>
      <c r="AB44" s="31"/>
      <c r="AC44" s="31"/>
      <c r="AD44" s="31"/>
      <c r="AE44" s="31"/>
      <c r="AF44" s="31"/>
      <c r="AG44" s="31"/>
      <c r="AH44" s="31"/>
      <c r="AI44" s="31"/>
      <c r="AJ44">
        <f t="shared" si="27"/>
        <v>191</v>
      </c>
      <c r="AK44" s="6">
        <f t="shared" si="4"/>
        <v>0.34402563427450272</v>
      </c>
      <c r="AL44" s="6">
        <f t="shared" si="5"/>
        <v>0.11694314344841851</v>
      </c>
      <c r="AM44" s="6">
        <f t="shared" si="6"/>
        <v>0.20088111434995476</v>
      </c>
      <c r="AN44" s="6">
        <f t="shared" si="7"/>
        <v>4.2657261392274352E-3</v>
      </c>
      <c r="AO44" s="6">
        <f t="shared" si="8"/>
        <v>3.927024641212977E-2</v>
      </c>
      <c r="AP44" s="6">
        <f t="shared" si="9"/>
        <v>0.34402563427450272</v>
      </c>
      <c r="AQ44" s="6">
        <f t="shared" si="10"/>
        <v>0.58740930098507438</v>
      </c>
      <c r="AR44" s="6">
        <f t="shared" si="11"/>
        <v>0.58740930098507438</v>
      </c>
      <c r="AS44" s="6">
        <f t="shared" si="12"/>
        <v>0.20088111434995476</v>
      </c>
      <c r="AT44" s="6">
        <f t="shared" si="13"/>
        <v>6.78713793493321E-2</v>
      </c>
      <c r="AU44" s="6">
        <f t="shared" si="14"/>
        <v>0.11694314344841851</v>
      </c>
      <c r="AV44" s="6">
        <f t="shared" si="15"/>
        <v>2.3633311942729791E-2</v>
      </c>
      <c r="AW44" s="6">
        <f t="shared" si="16"/>
        <v>0.58740930098507438</v>
      </c>
      <c r="AX44" s="6">
        <f t="shared" si="17"/>
        <v>0.11694314344841851</v>
      </c>
      <c r="AY44" s="6">
        <f t="shared" si="18"/>
        <v>0.58740930098507438</v>
      </c>
      <c r="AZ44" s="6">
        <f t="shared" si="19"/>
        <v>0.20088111434995476</v>
      </c>
      <c r="BA44" s="6">
        <f t="shared" si="20"/>
        <v>2.192780089426161E-2</v>
      </c>
      <c r="BB44" s="6">
        <f t="shared" si="21"/>
        <v>0.7269738479716138</v>
      </c>
      <c r="BC44" s="6">
        <f t="shared" si="22"/>
        <v>0.58740930098507438</v>
      </c>
      <c r="BD44" s="6">
        <f t="shared" si="23"/>
        <v>0.80859404451306671</v>
      </c>
      <c r="BE44" s="6">
        <f t="shared" si="24"/>
        <v>0.58740930098507438</v>
      </c>
      <c r="BF44" s="6">
        <f t="shared" si="25"/>
        <v>0.58653698457514403</v>
      </c>
      <c r="BG44" s="6">
        <f t="shared" si="26"/>
        <v>0.89927167390327301</v>
      </c>
    </row>
    <row r="45" spans="2:59" x14ac:dyDescent="0.25">
      <c r="B45" s="6">
        <f t="shared" si="2"/>
        <v>993</v>
      </c>
      <c r="C45" s="14">
        <v>1</v>
      </c>
      <c r="D45" s="5">
        <v>41185</v>
      </c>
      <c r="E45" s="6" t="s">
        <v>342</v>
      </c>
      <c r="F45" s="33">
        <v>120</v>
      </c>
      <c r="G45" s="31"/>
      <c r="H45" s="31"/>
      <c r="I45" s="31"/>
      <c r="J45" s="31"/>
      <c r="K45" s="31"/>
      <c r="L45" s="6">
        <f t="shared" si="32"/>
        <v>-201.03896103896102</v>
      </c>
      <c r="M45" s="6">
        <f t="shared" si="30"/>
        <v>22.910515890846693</v>
      </c>
      <c r="N45" s="31"/>
      <c r="O45" s="31"/>
      <c r="P45" s="31"/>
      <c r="Q45" s="31"/>
      <c r="R45" s="31"/>
      <c r="T45" s="6">
        <f t="shared" si="33"/>
        <v>268</v>
      </c>
      <c r="U45" s="5">
        <v>40449</v>
      </c>
      <c r="V45" s="6" t="s">
        <v>349</v>
      </c>
      <c r="W45" s="34">
        <v>120</v>
      </c>
      <c r="X45" s="33">
        <f>COUNT(W43:W45)</f>
        <v>3</v>
      </c>
      <c r="Y45" s="33">
        <f>SUM(W43:W45)</f>
        <v>420</v>
      </c>
      <c r="Z45" s="6">
        <f>($F$86-Y45)/X45</f>
        <v>172660</v>
      </c>
      <c r="AA45" s="6">
        <f>INT(Z45/60/24)</f>
        <v>119</v>
      </c>
      <c r="AB45" s="6">
        <f>Y45/X45</f>
        <v>140</v>
      </c>
      <c r="AC45" s="6">
        <f>Y45-W46</f>
        <v>280</v>
      </c>
      <c r="AD45" s="33">
        <f>SQRT((AC45*AC45)/COUNT(W43:W45))</f>
        <v>161.65807537309522</v>
      </c>
      <c r="AE45" s="6">
        <f>1/AA45</f>
        <v>8.4033613445378148E-3</v>
      </c>
      <c r="AF45" s="6">
        <f>AE45*EXP(-AE45*(365*1))</f>
        <v>3.9117701217351283E-4</v>
      </c>
      <c r="AG45" s="6">
        <f>1-EXP(-AE45*(365*1))</f>
        <v>0.95344993555135193</v>
      </c>
      <c r="AH45" s="6">
        <f>EXP(-AE45*(365*1))</f>
        <v>4.6550064448648031E-2</v>
      </c>
      <c r="AI45" s="6">
        <f>$F$86/(Y45+$F$86)*100</f>
        <v>99.919047068347396</v>
      </c>
      <c r="AJ45">
        <f t="shared" si="27"/>
        <v>196</v>
      </c>
      <c r="AK45" s="6">
        <f t="shared" si="4"/>
        <v>0.33454895176087951</v>
      </c>
      <c r="AL45" s="6">
        <f t="shared" si="5"/>
        <v>0.11055444206202804</v>
      </c>
      <c r="AM45" s="6">
        <f t="shared" si="6"/>
        <v>0.19261559277384013</v>
      </c>
      <c r="AN45" s="6">
        <f t="shared" si="7"/>
        <v>3.697863716482932E-3</v>
      </c>
      <c r="AO45" s="6">
        <f t="shared" si="8"/>
        <v>3.6079375297621494E-2</v>
      </c>
      <c r="AP45" s="6">
        <f t="shared" si="9"/>
        <v>0.33454895176087951</v>
      </c>
      <c r="AQ45" s="6">
        <f t="shared" si="10"/>
        <v>0.57928482143473381</v>
      </c>
      <c r="AR45" s="6">
        <f t="shared" si="11"/>
        <v>0.57928482143473381</v>
      </c>
      <c r="AS45" s="6">
        <f t="shared" si="12"/>
        <v>0.19261559277384013</v>
      </c>
      <c r="AT45" s="6">
        <f t="shared" si="13"/>
        <v>6.3256121067787136E-2</v>
      </c>
      <c r="AU45" s="6">
        <f t="shared" si="14"/>
        <v>0.11055444206202804</v>
      </c>
      <c r="AV45" s="6">
        <f t="shared" si="15"/>
        <v>2.142627610235312E-2</v>
      </c>
      <c r="AW45" s="6">
        <f t="shared" si="16"/>
        <v>0.57928482143473381</v>
      </c>
      <c r="AX45" s="6">
        <f t="shared" si="17"/>
        <v>0.11055444206202804</v>
      </c>
      <c r="AY45" s="6">
        <f t="shared" si="18"/>
        <v>0.57928482143473381</v>
      </c>
      <c r="AZ45" s="6">
        <f t="shared" si="19"/>
        <v>0.19261559277384013</v>
      </c>
      <c r="BA45" s="6">
        <f t="shared" si="20"/>
        <v>1.9841094744370288E-2</v>
      </c>
      <c r="BB45" s="6">
        <f t="shared" si="21"/>
        <v>0.72093087503344544</v>
      </c>
      <c r="BC45" s="6">
        <f t="shared" si="22"/>
        <v>0.57928482143473381</v>
      </c>
      <c r="BD45" s="6">
        <f t="shared" si="23"/>
        <v>0.80410934142957702</v>
      </c>
      <c r="BE45" s="6">
        <f t="shared" si="24"/>
        <v>0.57928482143473381</v>
      </c>
      <c r="BF45" s="6">
        <f t="shared" si="25"/>
        <v>0.57840206756276336</v>
      </c>
      <c r="BG45" s="6">
        <f t="shared" si="26"/>
        <v>0.89677577854987678</v>
      </c>
    </row>
    <row r="46" spans="2:59" x14ac:dyDescent="0.25">
      <c r="B46" s="6">
        <f t="shared" si="2"/>
        <v>1103</v>
      </c>
      <c r="C46" s="10">
        <v>1</v>
      </c>
      <c r="D46" s="5">
        <v>41297</v>
      </c>
      <c r="E46" s="6" t="s">
        <v>342</v>
      </c>
      <c r="F46" s="33">
        <v>30</v>
      </c>
      <c r="G46" s="31"/>
      <c r="H46" s="31"/>
      <c r="I46" s="31"/>
      <c r="J46" s="31"/>
      <c r="K46" s="31"/>
      <c r="L46" s="6">
        <f t="shared" si="32"/>
        <v>-291.03896103896102</v>
      </c>
      <c r="M46" s="6">
        <f>SQRT((L46*L46)/COUNT(B46:B82))</f>
        <v>47.846510461208524</v>
      </c>
      <c r="N46" s="31"/>
      <c r="O46" s="31"/>
      <c r="P46" s="31"/>
      <c r="Q46" s="31"/>
      <c r="R46" s="31"/>
      <c r="T46" s="31"/>
      <c r="U46" s="31"/>
      <c r="V46" s="43" t="s">
        <v>235</v>
      </c>
      <c r="W46" s="6">
        <f>AVERAGE(W43:W45)</f>
        <v>140</v>
      </c>
      <c r="X46" s="31"/>
      <c r="Y46" s="31"/>
      <c r="Z46" s="31"/>
      <c r="AA46" s="31"/>
      <c r="AB46" s="31"/>
      <c r="AC46" s="31"/>
      <c r="AD46" s="31"/>
      <c r="AE46" s="31"/>
      <c r="AF46" s="31"/>
      <c r="AG46" s="31"/>
      <c r="AH46" s="31"/>
      <c r="AI46" s="31"/>
      <c r="AJ46">
        <f t="shared" si="27"/>
        <v>201</v>
      </c>
      <c r="AK46" s="6">
        <f t="shared" si="4"/>
        <v>0.32533331814163124</v>
      </c>
      <c r="AL46" s="6">
        <f t="shared" si="5"/>
        <v>0.10451476075668635</v>
      </c>
      <c r="AM46" s="6">
        <f t="shared" si="6"/>
        <v>0.18469016711538452</v>
      </c>
      <c r="AN46" s="6">
        <f t="shared" si="7"/>
        <v>3.2055963321071241E-3</v>
      </c>
      <c r="AO46" s="6">
        <f t="shared" si="8"/>
        <v>3.3147775753822259E-2</v>
      </c>
      <c r="AP46" s="6">
        <f t="shared" si="9"/>
        <v>0.32533331814163124</v>
      </c>
      <c r="AQ46" s="6">
        <f t="shared" si="10"/>
        <v>0.57127271185853779</v>
      </c>
      <c r="AR46" s="6">
        <f t="shared" si="11"/>
        <v>0.57127271185853779</v>
      </c>
      <c r="AS46" s="6">
        <f t="shared" si="12"/>
        <v>0.18469016711538452</v>
      </c>
      <c r="AT46" s="6">
        <f t="shared" si="13"/>
        <v>5.8954700654421245E-2</v>
      </c>
      <c r="AU46" s="6">
        <f t="shared" si="14"/>
        <v>0.10451476075668635</v>
      </c>
      <c r="AV46" s="6">
        <f t="shared" si="15"/>
        <v>1.9425347946439429E-2</v>
      </c>
      <c r="AW46" s="6">
        <f t="shared" si="16"/>
        <v>0.57127271185853779</v>
      </c>
      <c r="AX46" s="6">
        <f t="shared" si="17"/>
        <v>0.10451476075668635</v>
      </c>
      <c r="AY46" s="6">
        <f t="shared" si="18"/>
        <v>0.57127271185853779</v>
      </c>
      <c r="AZ46" s="6">
        <f t="shared" si="19"/>
        <v>0.18469016711538452</v>
      </c>
      <c r="BA46" s="6">
        <f t="shared" si="20"/>
        <v>1.7952964939502849E-2</v>
      </c>
      <c r="BB46" s="6">
        <f t="shared" si="21"/>
        <v>0.71493813433132425</v>
      </c>
      <c r="BC46" s="6">
        <f t="shared" si="22"/>
        <v>0.57127271185853779</v>
      </c>
      <c r="BD46" s="6">
        <f t="shared" si="23"/>
        <v>0.79964951184334288</v>
      </c>
      <c r="BE46" s="6">
        <f t="shared" si="24"/>
        <v>0.57127271185853779</v>
      </c>
      <c r="BF46" s="6">
        <f t="shared" si="25"/>
        <v>0.5703799769816883</v>
      </c>
      <c r="BG46" s="6">
        <f t="shared" si="26"/>
        <v>0.89428681046195102</v>
      </c>
    </row>
    <row r="47" spans="2:59" x14ac:dyDescent="0.25">
      <c r="B47" s="6">
        <f t="shared" si="2"/>
        <v>1105</v>
      </c>
      <c r="C47" s="10">
        <v>1</v>
      </c>
      <c r="D47" s="5">
        <v>41299</v>
      </c>
      <c r="E47" s="6" t="s">
        <v>342</v>
      </c>
      <c r="F47" s="33">
        <v>360</v>
      </c>
      <c r="G47" s="31"/>
      <c r="H47" s="31"/>
      <c r="I47" s="31"/>
      <c r="J47" s="31"/>
      <c r="K47" s="31"/>
      <c r="L47" s="6">
        <f t="shared" si="32"/>
        <v>38.96103896103898</v>
      </c>
      <c r="M47" s="6">
        <f>SQRT((L47*L47)/COUNT(B47:B82))</f>
        <v>6.4935064935064961</v>
      </c>
      <c r="N47" s="31"/>
      <c r="O47" s="31"/>
      <c r="P47" s="31"/>
      <c r="Q47" s="31"/>
      <c r="R47" s="31"/>
      <c r="T47" s="6">
        <f>DAYS360("31-12-2009",U47)</f>
        <v>380</v>
      </c>
      <c r="U47" s="5">
        <v>40563</v>
      </c>
      <c r="V47" s="6" t="s">
        <v>349</v>
      </c>
      <c r="W47" s="33">
        <v>60</v>
      </c>
      <c r="X47" s="31"/>
      <c r="Y47" s="31"/>
      <c r="Z47" s="31"/>
      <c r="AA47" s="31"/>
      <c r="AB47" s="31"/>
      <c r="AC47" s="31"/>
      <c r="AD47" s="31"/>
      <c r="AE47" s="31"/>
      <c r="AF47" s="31"/>
      <c r="AG47" s="31"/>
      <c r="AH47" s="31"/>
      <c r="AI47" s="31"/>
      <c r="AJ47">
        <f t="shared" si="27"/>
        <v>206</v>
      </c>
      <c r="AK47" s="6">
        <f t="shared" si="4"/>
        <v>0.31637154244827759</v>
      </c>
      <c r="AL47" s="6">
        <f t="shared" si="5"/>
        <v>9.8805032274494262E-2</v>
      </c>
      <c r="AM47" s="6">
        <f t="shared" si="6"/>
        <v>0.17709084367411268</v>
      </c>
      <c r="AN47" s="6">
        <f t="shared" si="7"/>
        <v>2.7788606158239107E-3</v>
      </c>
      <c r="AO47" s="6">
        <f t="shared" si="8"/>
        <v>3.0454380885528307E-2</v>
      </c>
      <c r="AP47" s="6">
        <f t="shared" si="9"/>
        <v>0.31637154244827759</v>
      </c>
      <c r="AQ47" s="6">
        <f t="shared" si="10"/>
        <v>0.56337141806325919</v>
      </c>
      <c r="AR47" s="6">
        <f t="shared" si="11"/>
        <v>0.56337141806325919</v>
      </c>
      <c r="AS47" s="6">
        <f t="shared" si="12"/>
        <v>0.17709084367411268</v>
      </c>
      <c r="AT47" s="6">
        <f t="shared" si="13"/>
        <v>5.4945777113455975E-2</v>
      </c>
      <c r="AU47" s="6">
        <f t="shared" si="14"/>
        <v>9.8805032274494262E-2</v>
      </c>
      <c r="AV47" s="6">
        <f t="shared" si="15"/>
        <v>1.7611279768713378E-2</v>
      </c>
      <c r="AW47" s="6">
        <f t="shared" si="16"/>
        <v>0.56337141806325919</v>
      </c>
      <c r="AX47" s="6">
        <f t="shared" si="17"/>
        <v>9.8805032274494262E-2</v>
      </c>
      <c r="AY47" s="6">
        <f t="shared" si="18"/>
        <v>0.56337141806325919</v>
      </c>
      <c r="AZ47" s="6">
        <f t="shared" si="19"/>
        <v>0.17709084367411268</v>
      </c>
      <c r="BA47" s="6">
        <f t="shared" si="20"/>
        <v>1.6244514441949871E-2</v>
      </c>
      <c r="BB47" s="6">
        <f t="shared" si="21"/>
        <v>0.70899520830959273</v>
      </c>
      <c r="BC47" s="6">
        <f t="shared" si="22"/>
        <v>0.56337141806325919</v>
      </c>
      <c r="BD47" s="6">
        <f t="shared" si="23"/>
        <v>0.79521441779854996</v>
      </c>
      <c r="BE47" s="6">
        <f t="shared" si="24"/>
        <v>0.56337141806325919</v>
      </c>
      <c r="BF47" s="6">
        <f t="shared" si="25"/>
        <v>0.56246914799682801</v>
      </c>
      <c r="BG47" s="6">
        <f t="shared" si="26"/>
        <v>0.89180475041312579</v>
      </c>
    </row>
    <row r="48" spans="2:59" x14ac:dyDescent="0.25">
      <c r="B48" s="6">
        <f t="shared" si="2"/>
        <v>1108</v>
      </c>
      <c r="C48" s="10">
        <v>1</v>
      </c>
      <c r="D48" s="5">
        <v>41302</v>
      </c>
      <c r="E48" s="6" t="s">
        <v>342</v>
      </c>
      <c r="F48" s="33">
        <v>60</v>
      </c>
      <c r="G48" s="31"/>
      <c r="H48" s="31"/>
      <c r="I48" s="31"/>
      <c r="J48" s="31"/>
      <c r="K48" s="31"/>
      <c r="L48" s="6">
        <f t="shared" si="32"/>
        <v>-261.03896103896102</v>
      </c>
      <c r="M48" s="6">
        <f>SQRT((L48*L48)/COUNT(B48:B82))</f>
        <v>44.12363771439788</v>
      </c>
      <c r="N48" s="31"/>
      <c r="O48" s="31"/>
      <c r="P48" s="31"/>
      <c r="Q48" s="31"/>
      <c r="R48" s="31"/>
      <c r="T48" s="6">
        <f>DAYS360("31-12-2009",U48)</f>
        <v>381</v>
      </c>
      <c r="U48" s="5">
        <v>40564</v>
      </c>
      <c r="V48" s="6" t="s">
        <v>349</v>
      </c>
      <c r="W48" s="33">
        <v>60</v>
      </c>
      <c r="X48" s="31"/>
      <c r="Y48" s="31"/>
      <c r="Z48" s="31"/>
      <c r="AA48" s="31"/>
      <c r="AB48" s="31"/>
      <c r="AC48" s="31"/>
      <c r="AD48" s="31"/>
      <c r="AE48" s="31"/>
      <c r="AF48" s="31"/>
      <c r="AG48" s="31"/>
      <c r="AH48" s="31"/>
      <c r="AI48" s="31"/>
      <c r="AJ48">
        <f t="shared" si="27"/>
        <v>211</v>
      </c>
      <c r="AK48" s="6">
        <f t="shared" si="4"/>
        <v>0.30765663179794123</v>
      </c>
      <c r="AL48" s="6">
        <f t="shared" si="5"/>
        <v>9.3407231017742134E-2</v>
      </c>
      <c r="AM48" s="6">
        <f t="shared" si="6"/>
        <v>0.16980420453903336</v>
      </c>
      <c r="AN48" s="6">
        <f t="shared" si="7"/>
        <v>2.4089328543439271E-3</v>
      </c>
      <c r="AO48" s="6">
        <f t="shared" si="8"/>
        <v>2.7979835570532546E-2</v>
      </c>
      <c r="AP48" s="6">
        <f t="shared" si="9"/>
        <v>0.30765663179794123</v>
      </c>
      <c r="AQ48" s="6">
        <f t="shared" si="10"/>
        <v>0.5555794073517748</v>
      </c>
      <c r="AR48" s="6">
        <f t="shared" si="11"/>
        <v>0.5555794073517748</v>
      </c>
      <c r="AS48" s="6">
        <f t="shared" si="12"/>
        <v>0.16980420453903336</v>
      </c>
      <c r="AT48" s="6">
        <f t="shared" si="13"/>
        <v>5.1209460638236191E-2</v>
      </c>
      <c r="AU48" s="6">
        <f t="shared" si="14"/>
        <v>9.3407231017742134E-2</v>
      </c>
      <c r="AV48" s="6">
        <f t="shared" si="15"/>
        <v>1.5966621341716739E-2</v>
      </c>
      <c r="AW48" s="6">
        <f t="shared" si="16"/>
        <v>0.5555794073517748</v>
      </c>
      <c r="AX48" s="6">
        <f t="shared" si="17"/>
        <v>9.3407231017742134E-2</v>
      </c>
      <c r="AY48" s="6">
        <f t="shared" si="18"/>
        <v>0.5555794073517748</v>
      </c>
      <c r="AZ48" s="6">
        <f t="shared" si="19"/>
        <v>0.16980420453903336</v>
      </c>
      <c r="BA48" s="6">
        <f t="shared" si="20"/>
        <v>1.4698644504901784E-2</v>
      </c>
      <c r="BB48" s="6">
        <f t="shared" si="21"/>
        <v>0.70310168288352659</v>
      </c>
      <c r="BC48" s="6">
        <f t="shared" si="22"/>
        <v>0.5555794073517748</v>
      </c>
      <c r="BD48" s="6">
        <f t="shared" si="23"/>
        <v>0.7908039221045281</v>
      </c>
      <c r="BE48" s="6">
        <f t="shared" si="24"/>
        <v>0.5555794073517748</v>
      </c>
      <c r="BF48" s="6">
        <f t="shared" si="25"/>
        <v>0.55466803747641813</v>
      </c>
      <c r="BG48" s="6">
        <f t="shared" si="26"/>
        <v>0.88932957923039357</v>
      </c>
    </row>
    <row r="49" spans="2:59" x14ac:dyDescent="0.25">
      <c r="B49" s="6">
        <f t="shared" si="2"/>
        <v>1109</v>
      </c>
      <c r="C49" s="10">
        <v>1</v>
      </c>
      <c r="D49" s="5">
        <v>41303</v>
      </c>
      <c r="E49" s="6" t="s">
        <v>342</v>
      </c>
      <c r="F49" s="33">
        <v>120</v>
      </c>
      <c r="G49" s="31"/>
      <c r="H49" s="31"/>
      <c r="I49" s="31"/>
      <c r="J49" s="31"/>
      <c r="K49" s="31"/>
      <c r="L49" s="6">
        <f t="shared" si="32"/>
        <v>-201.03896103896102</v>
      </c>
      <c r="M49" s="6">
        <f>SQRT((L49*L49)/COUNT(B49:B82))</f>
        <v>34.477897376701776</v>
      </c>
      <c r="N49" s="31"/>
      <c r="O49" s="31"/>
      <c r="P49" s="31"/>
      <c r="Q49" s="31"/>
      <c r="R49" s="31"/>
      <c r="T49" s="6">
        <f>DAYS360("31-12-2009",U49)</f>
        <v>415</v>
      </c>
      <c r="U49" s="5">
        <v>40599</v>
      </c>
      <c r="V49" s="6" t="s">
        <v>349</v>
      </c>
      <c r="W49" s="33">
        <f>8*60</f>
        <v>480</v>
      </c>
      <c r="X49" s="31"/>
      <c r="Y49" s="31"/>
      <c r="Z49" s="31"/>
      <c r="AA49" s="31"/>
      <c r="AB49" s="31"/>
      <c r="AC49" s="31"/>
      <c r="AD49" s="31"/>
      <c r="AE49" s="31"/>
      <c r="AF49" s="31"/>
      <c r="AG49" s="31"/>
      <c r="AH49" s="31"/>
      <c r="AI49" s="31"/>
      <c r="AJ49">
        <f t="shared" si="27"/>
        <v>216</v>
      </c>
      <c r="AK49" s="6">
        <f t="shared" si="4"/>
        <v>0.29918178593679412</v>
      </c>
      <c r="AL49" s="6">
        <f t="shared" si="5"/>
        <v>8.8304316142145678E-2</v>
      </c>
      <c r="AM49" s="6">
        <f t="shared" si="6"/>
        <v>0.16281738389701275</v>
      </c>
      <c r="AN49" s="6">
        <f t="shared" si="7"/>
        <v>2.0882506534128749E-3</v>
      </c>
      <c r="AO49" s="6">
        <f t="shared" si="8"/>
        <v>2.5706357370937478E-2</v>
      </c>
      <c r="AP49" s="6">
        <f t="shared" si="9"/>
        <v>0.29918178593679412</v>
      </c>
      <c r="AQ49" s="6">
        <f t="shared" si="10"/>
        <v>0.54789516822575102</v>
      </c>
      <c r="AR49" s="6">
        <f t="shared" si="11"/>
        <v>0.54789516822575102</v>
      </c>
      <c r="AS49" s="6">
        <f t="shared" si="12"/>
        <v>0.16281738389701275</v>
      </c>
      <c r="AT49" s="6">
        <f t="shared" si="13"/>
        <v>4.7727213930273925E-2</v>
      </c>
      <c r="AU49" s="6">
        <f t="shared" si="14"/>
        <v>8.8304316142145678E-2</v>
      </c>
      <c r="AV49" s="6">
        <f t="shared" si="15"/>
        <v>1.4475552056282438E-2</v>
      </c>
      <c r="AW49" s="6">
        <f t="shared" si="16"/>
        <v>0.54789516822575102</v>
      </c>
      <c r="AX49" s="6">
        <f t="shared" si="17"/>
        <v>8.8304316142145678E-2</v>
      </c>
      <c r="AY49" s="6">
        <f t="shared" si="18"/>
        <v>0.54789516822575102</v>
      </c>
      <c r="AZ49" s="6">
        <f t="shared" si="19"/>
        <v>0.16281738389701275</v>
      </c>
      <c r="BA49" s="6">
        <f t="shared" si="20"/>
        <v>1.3299883542443767E-2</v>
      </c>
      <c r="BB49" s="6">
        <f t="shared" si="21"/>
        <v>0.69725714741048206</v>
      </c>
      <c r="BC49" s="6">
        <f t="shared" si="22"/>
        <v>0.54789516822575102</v>
      </c>
      <c r="BD49" s="6">
        <f t="shared" si="23"/>
        <v>0.78641788833150705</v>
      </c>
      <c r="BE49" s="6">
        <f t="shared" si="24"/>
        <v>0.54789516822575102</v>
      </c>
      <c r="BF49" s="6">
        <f t="shared" si="25"/>
        <v>0.54697512369100854</v>
      </c>
      <c r="BG49" s="6">
        <f t="shared" si="26"/>
        <v>0.88686127779396062</v>
      </c>
    </row>
    <row r="50" spans="2:59" x14ac:dyDescent="0.25">
      <c r="B50" s="6">
        <f t="shared" si="2"/>
        <v>1117</v>
      </c>
      <c r="C50" s="10">
        <v>1</v>
      </c>
      <c r="D50" s="5">
        <v>41312</v>
      </c>
      <c r="E50" s="6" t="s">
        <v>342</v>
      </c>
      <c r="F50" s="33">
        <v>150</v>
      </c>
      <c r="G50" s="31"/>
      <c r="H50" s="31"/>
      <c r="I50" s="31"/>
      <c r="J50" s="31"/>
      <c r="K50" s="31"/>
      <c r="L50" s="6">
        <f t="shared" si="32"/>
        <v>-171.03896103896102</v>
      </c>
      <c r="M50" s="6">
        <f>SQRT((L50*L50)/COUNT(B50:B82))</f>
        <v>29.774061414760265</v>
      </c>
      <c r="N50" s="31"/>
      <c r="O50" s="31"/>
      <c r="P50" s="31"/>
      <c r="Q50" s="31"/>
      <c r="R50" s="31"/>
      <c r="T50" s="6">
        <f>DAYS360("31-12-2009",U50)</f>
        <v>421</v>
      </c>
      <c r="U50" s="5">
        <v>40603</v>
      </c>
      <c r="V50" s="6" t="s">
        <v>349</v>
      </c>
      <c r="W50" s="33">
        <v>240</v>
      </c>
      <c r="X50" s="31"/>
      <c r="Y50" s="31"/>
      <c r="Z50" s="31"/>
      <c r="AA50" s="31"/>
      <c r="AB50" s="31"/>
      <c r="AC50" s="31"/>
      <c r="AD50" s="31"/>
      <c r="AE50" s="31"/>
      <c r="AF50" s="31"/>
      <c r="AG50" s="31"/>
      <c r="AH50" s="31"/>
      <c r="AI50" s="31"/>
      <c r="AJ50">
        <f t="shared" si="27"/>
        <v>221</v>
      </c>
      <c r="AK50" s="6">
        <f t="shared" si="4"/>
        <v>0.29094039193381266</v>
      </c>
      <c r="AL50" s="6">
        <f t="shared" si="5"/>
        <v>8.3480177758945562E-2</v>
      </c>
      <c r="AM50" s="6">
        <f t="shared" si="6"/>
        <v>0.15611804531597109</v>
      </c>
      <c r="AN50" s="6">
        <f t="shared" si="7"/>
        <v>1.8102583405824968E-3</v>
      </c>
      <c r="AO50" s="6">
        <f t="shared" si="8"/>
        <v>2.3617608746003591E-2</v>
      </c>
      <c r="AP50" s="6">
        <f t="shared" si="9"/>
        <v>0.29094039193381266</v>
      </c>
      <c r="AQ50" s="6">
        <f t="shared" si="10"/>
        <v>0.54031721009244316</v>
      </c>
      <c r="AR50" s="6">
        <f t="shared" si="11"/>
        <v>0.54031721009244316</v>
      </c>
      <c r="AS50" s="6">
        <f t="shared" si="12"/>
        <v>0.15611804531597109</v>
      </c>
      <c r="AT50" s="6">
        <f t="shared" si="13"/>
        <v>4.4481760228603541E-2</v>
      </c>
      <c r="AU50" s="6">
        <f t="shared" si="14"/>
        <v>8.3480177758945562E-2</v>
      </c>
      <c r="AV50" s="6">
        <f t="shared" si="15"/>
        <v>1.3123728736940968E-2</v>
      </c>
      <c r="AW50" s="6">
        <f t="shared" si="16"/>
        <v>0.54031721009244316</v>
      </c>
      <c r="AX50" s="6">
        <f t="shared" si="17"/>
        <v>8.3480177758945562E-2</v>
      </c>
      <c r="AY50" s="6">
        <f t="shared" si="18"/>
        <v>0.54031721009244316</v>
      </c>
      <c r="AZ50" s="6">
        <f t="shared" si="19"/>
        <v>0.15611804531597109</v>
      </c>
      <c r="BA50" s="6">
        <f t="shared" si="20"/>
        <v>1.2034232284723775E-2</v>
      </c>
      <c r="BB50" s="6">
        <f t="shared" si="21"/>
        <v>0.6914611946612842</v>
      </c>
      <c r="BC50" s="6">
        <f t="shared" si="22"/>
        <v>0.54031721009244316</v>
      </c>
      <c r="BD50" s="6">
        <f t="shared" si="23"/>
        <v>0.78205618080639705</v>
      </c>
      <c r="BE50" s="6">
        <f t="shared" si="24"/>
        <v>0.54031721009244316</v>
      </c>
      <c r="BF50" s="6">
        <f t="shared" si="25"/>
        <v>0.53938890601662604</v>
      </c>
      <c r="BG50" s="6">
        <f t="shared" si="26"/>
        <v>0.88439982703709952</v>
      </c>
    </row>
    <row r="51" spans="2:59" x14ac:dyDescent="0.25">
      <c r="B51" s="6">
        <f t="shared" si="2"/>
        <v>1136</v>
      </c>
      <c r="C51" s="10">
        <v>1</v>
      </c>
      <c r="D51" s="5">
        <v>41331</v>
      </c>
      <c r="E51" s="6" t="s">
        <v>342</v>
      </c>
      <c r="F51" s="33">
        <v>30</v>
      </c>
      <c r="G51" s="31"/>
      <c r="H51" s="31"/>
      <c r="I51" s="31"/>
      <c r="J51" s="31"/>
      <c r="K51" s="31"/>
      <c r="L51" s="6">
        <f t="shared" si="32"/>
        <v>-291.03896103896102</v>
      </c>
      <c r="M51" s="6">
        <f>SQRT((L51*L51)/COUNT(B51:B82))</f>
        <v>51.448905735034188</v>
      </c>
      <c r="N51" s="31"/>
      <c r="O51" s="31"/>
      <c r="P51" s="31"/>
      <c r="Q51" s="31"/>
      <c r="R51" s="31"/>
      <c r="T51" s="6">
        <f>DAYS360("31-12-2009",U51)</f>
        <v>436</v>
      </c>
      <c r="U51" s="5">
        <v>40618</v>
      </c>
      <c r="V51" s="6" t="s">
        <v>349</v>
      </c>
      <c r="W51" s="33">
        <v>30</v>
      </c>
      <c r="X51" s="33">
        <f>COUNT(W47:W51)</f>
        <v>5</v>
      </c>
      <c r="Y51" s="33">
        <f>SUM(W47:W51)</f>
        <v>870</v>
      </c>
      <c r="Z51" s="6">
        <f>($F$86-Y51)/X51</f>
        <v>103506</v>
      </c>
      <c r="AA51" s="6">
        <f>INT(Z51/60/24)</f>
        <v>71</v>
      </c>
      <c r="AB51" s="6">
        <f>Y51/X51</f>
        <v>174</v>
      </c>
      <c r="AC51" s="6">
        <f>Y51-W52</f>
        <v>696</v>
      </c>
      <c r="AD51" s="33">
        <f>SQRT((AC51*AC51)/COUNT(W47:W51))</f>
        <v>311.26066246797075</v>
      </c>
      <c r="AE51" s="6">
        <f>1/AA51</f>
        <v>1.4084507042253521E-2</v>
      </c>
      <c r="AF51" s="6">
        <f>AE51*EXP(-AE51*(365*1))</f>
        <v>8.2432980902006578E-5</v>
      </c>
      <c r="AG51" s="6">
        <f>1-EXP(-AE51*(365*1))</f>
        <v>0.99414725835595752</v>
      </c>
      <c r="AH51" s="6">
        <f>EXP(-AE51*(365*1))</f>
        <v>5.8527416440424668E-3</v>
      </c>
      <c r="AI51" s="6">
        <f>$F$86/(Y51+$F$86)*100</f>
        <v>99.832457103241097</v>
      </c>
      <c r="AJ51">
        <f t="shared" si="27"/>
        <v>226</v>
      </c>
      <c r="AK51" s="6">
        <f t="shared" si="4"/>
        <v>0.28292601902070036</v>
      </c>
      <c r="AL51" s="6">
        <f t="shared" si="5"/>
        <v>7.8919586076031376E-2</v>
      </c>
      <c r="AM51" s="6">
        <f t="shared" si="6"/>
        <v>0.14969435996279248</v>
      </c>
      <c r="AN51" s="6">
        <f t="shared" si="7"/>
        <v>1.5692729482894032E-3</v>
      </c>
      <c r="AO51" s="6">
        <f t="shared" si="8"/>
        <v>2.1698579648235988E-2</v>
      </c>
      <c r="AP51" s="6">
        <f t="shared" si="9"/>
        <v>0.28292601902070036</v>
      </c>
      <c r="AQ51" s="6">
        <f t="shared" si="10"/>
        <v>0.53284406297554965</v>
      </c>
      <c r="AR51" s="6">
        <f t="shared" si="11"/>
        <v>0.53284406297554965</v>
      </c>
      <c r="AS51" s="6">
        <f t="shared" si="12"/>
        <v>0.14969435996279248</v>
      </c>
      <c r="AT51" s="6">
        <f t="shared" si="13"/>
        <v>4.145699759314693E-2</v>
      </c>
      <c r="AU51" s="6">
        <f t="shared" si="14"/>
        <v>7.8919586076031376E-2</v>
      </c>
      <c r="AV51" s="6">
        <f t="shared" si="15"/>
        <v>1.1898147669336081E-2</v>
      </c>
      <c r="AW51" s="6">
        <f t="shared" si="16"/>
        <v>0.53284406297554965</v>
      </c>
      <c r="AX51" s="6">
        <f t="shared" si="17"/>
        <v>7.8919586076031376E-2</v>
      </c>
      <c r="AY51" s="6">
        <f t="shared" si="18"/>
        <v>0.53284406297554965</v>
      </c>
      <c r="AZ51" s="6">
        <f t="shared" si="19"/>
        <v>0.14969435996279248</v>
      </c>
      <c r="BA51" s="6">
        <f t="shared" si="20"/>
        <v>1.088902366855444E-2</v>
      </c>
      <c r="BB51" s="6">
        <f t="shared" si="21"/>
        <v>0.68571342079185216</v>
      </c>
      <c r="BC51" s="6">
        <f t="shared" si="22"/>
        <v>0.53284406297554965</v>
      </c>
      <c r="BD51" s="6">
        <f t="shared" si="23"/>
        <v>0.7777186646085914</v>
      </c>
      <c r="BE51" s="6">
        <f t="shared" si="24"/>
        <v>0.53284406297554965</v>
      </c>
      <c r="BF51" s="6">
        <f t="shared" si="25"/>
        <v>0.53190790464205395</v>
      </c>
      <c r="BG51" s="6">
        <f t="shared" si="26"/>
        <v>0.88194520794600195</v>
      </c>
    </row>
    <row r="52" spans="2:59" x14ac:dyDescent="0.25">
      <c r="B52" s="6">
        <f t="shared" si="2"/>
        <v>1144</v>
      </c>
      <c r="C52" s="10">
        <v>1</v>
      </c>
      <c r="D52" s="5">
        <v>41337</v>
      </c>
      <c r="E52" s="6" t="s">
        <v>342</v>
      </c>
      <c r="F52" s="33">
        <f>24*60+5*60</f>
        <v>1740</v>
      </c>
      <c r="G52" s="31"/>
      <c r="H52" s="31"/>
      <c r="I52" s="31"/>
      <c r="J52" s="31"/>
      <c r="K52" s="31"/>
      <c r="L52" s="6">
        <f t="shared" si="32"/>
        <v>1418.9610389610389</v>
      </c>
      <c r="M52" s="6">
        <f>SQRT((L52*L52)/COUNT(B52:B82))</f>
        <v>254.8529259668237</v>
      </c>
      <c r="N52" s="31"/>
      <c r="O52" s="31"/>
      <c r="P52" s="31"/>
      <c r="Q52" s="31"/>
      <c r="R52" s="31"/>
      <c r="T52" s="31"/>
      <c r="U52" s="31"/>
      <c r="V52" s="43" t="s">
        <v>235</v>
      </c>
      <c r="W52" s="6">
        <f>AVERAGE(W47:W51)</f>
        <v>174</v>
      </c>
      <c r="X52" s="31"/>
      <c r="Y52" s="31"/>
      <c r="Z52" s="31"/>
      <c r="AA52" s="31"/>
      <c r="AB52" s="31"/>
      <c r="AC52" s="31"/>
      <c r="AD52" s="31"/>
      <c r="AE52" s="31"/>
      <c r="AF52" s="31"/>
      <c r="AG52" s="31"/>
      <c r="AH52" s="31"/>
      <c r="AI52" s="31"/>
      <c r="AJ52">
        <f t="shared" si="27"/>
        <v>231</v>
      </c>
      <c r="AK52" s="6">
        <f t="shared" si="4"/>
        <v>0.27513241357395296</v>
      </c>
      <c r="AL52" s="6">
        <f t="shared" si="5"/>
        <v>7.4608143317528006E-2</v>
      </c>
      <c r="AM52" s="6">
        <f t="shared" si="6"/>
        <v>0.14353498571748824</v>
      </c>
      <c r="AN52" s="6">
        <f t="shared" si="7"/>
        <v>1.3603680375478939E-3</v>
      </c>
      <c r="AO52" s="6">
        <f t="shared" si="8"/>
        <v>1.9935479659028203E-2</v>
      </c>
      <c r="AP52" s="6">
        <f t="shared" si="9"/>
        <v>0.27513241357395296</v>
      </c>
      <c r="AQ52" s="6">
        <f t="shared" si="10"/>
        <v>0.52547427723006446</v>
      </c>
      <c r="AR52" s="6">
        <f t="shared" si="11"/>
        <v>0.52547427723006446</v>
      </c>
      <c r="AS52" s="6">
        <f t="shared" si="12"/>
        <v>0.14353498571748824</v>
      </c>
      <c r="AT52" s="6">
        <f t="shared" si="13"/>
        <v>3.863791901681557E-2</v>
      </c>
      <c r="AU52" s="6">
        <f t="shared" si="14"/>
        <v>7.4608143317528006E-2</v>
      </c>
      <c r="AV52" s="6">
        <f t="shared" si="15"/>
        <v>1.0787019512438168E-2</v>
      </c>
      <c r="AW52" s="6">
        <f t="shared" si="16"/>
        <v>0.52547427723006446</v>
      </c>
      <c r="AX52" s="6">
        <f t="shared" si="17"/>
        <v>7.4608143317528006E-2</v>
      </c>
      <c r="AY52" s="6">
        <f t="shared" si="18"/>
        <v>0.52547427723006446</v>
      </c>
      <c r="AZ52" s="6">
        <f t="shared" si="19"/>
        <v>0.14353498571748824</v>
      </c>
      <c r="BA52" s="6">
        <f t="shared" si="20"/>
        <v>9.8527960611872571E-3</v>
      </c>
      <c r="BB52" s="6">
        <f t="shared" si="21"/>
        <v>0.68001342531506048</v>
      </c>
      <c r="BC52" s="6">
        <f t="shared" si="22"/>
        <v>0.52547427723006446</v>
      </c>
      <c r="BD52" s="6">
        <f t="shared" si="23"/>
        <v>0.77340520556579317</v>
      </c>
      <c r="BE52" s="6">
        <f t="shared" si="24"/>
        <v>0.52547427723006446</v>
      </c>
      <c r="BF52" s="6">
        <f t="shared" si="25"/>
        <v>0.52453066028017181</v>
      </c>
      <c r="BG52" s="6">
        <f t="shared" si="26"/>
        <v>0.87949740155963152</v>
      </c>
    </row>
    <row r="53" spans="2:59" x14ac:dyDescent="0.25">
      <c r="B53" s="6">
        <f t="shared" si="2"/>
        <v>1149</v>
      </c>
      <c r="C53" s="10">
        <v>1</v>
      </c>
      <c r="D53" s="5">
        <v>41342</v>
      </c>
      <c r="E53" s="6" t="s">
        <v>342</v>
      </c>
      <c r="F53" s="33">
        <v>60</v>
      </c>
      <c r="G53" s="31"/>
      <c r="H53" s="31"/>
      <c r="I53" s="31"/>
      <c r="J53" s="31"/>
      <c r="K53" s="31"/>
      <c r="L53" s="6">
        <f t="shared" si="32"/>
        <v>-261.03896103896102</v>
      </c>
      <c r="M53" s="6">
        <f>SQRT((L53*L53)/COUNT(B53:B82))</f>
        <v>47.658975782917047</v>
      </c>
      <c r="N53" s="31"/>
      <c r="O53" s="31"/>
      <c r="P53" s="31"/>
      <c r="Q53" s="31"/>
      <c r="R53" s="31"/>
      <c r="T53" s="6">
        <f>DAYS360("31-12-2009",U53)</f>
        <v>732</v>
      </c>
      <c r="U53" s="5">
        <v>40920</v>
      </c>
      <c r="V53" s="30" t="s">
        <v>349</v>
      </c>
      <c r="W53" s="33">
        <v>60</v>
      </c>
      <c r="X53" s="31"/>
      <c r="Y53" s="31"/>
      <c r="Z53" s="31"/>
      <c r="AA53" s="31"/>
      <c r="AB53" s="31"/>
      <c r="AC53" s="31"/>
      <c r="AD53" s="31"/>
      <c r="AE53" s="31"/>
      <c r="AF53" s="31"/>
      <c r="AG53" s="31"/>
      <c r="AH53" s="31"/>
      <c r="AI53" s="31"/>
      <c r="AJ53">
        <f t="shared" si="27"/>
        <v>236</v>
      </c>
      <c r="AK53" s="6">
        <f t="shared" si="4"/>
        <v>0.26755349423514935</v>
      </c>
      <c r="AL53" s="6">
        <f t="shared" si="5"/>
        <v>7.0532238270055503E-2</v>
      </c>
      <c r="AM53" s="6">
        <f t="shared" si="6"/>
        <v>0.13762904714673543</v>
      </c>
      <c r="AN53" s="6">
        <f t="shared" si="7"/>
        <v>1.179272987276794E-3</v>
      </c>
      <c r="AO53" s="6">
        <f t="shared" si="8"/>
        <v>1.8315638888734179E-2</v>
      </c>
      <c r="AP53" s="6">
        <f t="shared" si="9"/>
        <v>0.26755349423514935</v>
      </c>
      <c r="AQ53" s="6">
        <f t="shared" si="10"/>
        <v>0.51820642326107513</v>
      </c>
      <c r="AR53" s="6">
        <f t="shared" si="11"/>
        <v>0.51820642326107513</v>
      </c>
      <c r="AS53" s="6">
        <f t="shared" si="12"/>
        <v>0.13762904714673543</v>
      </c>
      <c r="AT53" s="6">
        <f t="shared" si="13"/>
        <v>3.6010537969994746E-2</v>
      </c>
      <c r="AU53" s="6">
        <f t="shared" si="14"/>
        <v>7.0532238270055503E-2</v>
      </c>
      <c r="AV53" s="6">
        <f t="shared" si="15"/>
        <v>9.7796558922868589E-3</v>
      </c>
      <c r="AW53" s="6">
        <f t="shared" si="16"/>
        <v>0.51820642326107513</v>
      </c>
      <c r="AX53" s="6">
        <f t="shared" si="17"/>
        <v>7.0532238270055503E-2</v>
      </c>
      <c r="AY53" s="6">
        <f t="shared" si="18"/>
        <v>0.51820642326107513</v>
      </c>
      <c r="AZ53" s="6">
        <f t="shared" si="19"/>
        <v>0.13762904714673543</v>
      </c>
      <c r="BA53" s="6">
        <f t="shared" si="20"/>
        <v>8.9151785484395535E-3</v>
      </c>
      <c r="BB53" s="6">
        <f t="shared" si="21"/>
        <v>0.67436081107283463</v>
      </c>
      <c r="BC53" s="6">
        <f t="shared" si="22"/>
        <v>0.51820642326107513</v>
      </c>
      <c r="BD53" s="6">
        <f t="shared" si="23"/>
        <v>0.76911567024986505</v>
      </c>
      <c r="BE53" s="6">
        <f t="shared" si="24"/>
        <v>0.51820642326107513</v>
      </c>
      <c r="BF53" s="6">
        <f t="shared" si="25"/>
        <v>0.51725573388329815</v>
      </c>
      <c r="BG53" s="6">
        <f t="shared" si="26"/>
        <v>0.87705638896957772</v>
      </c>
    </row>
    <row r="54" spans="2:59" x14ac:dyDescent="0.25">
      <c r="B54" s="6">
        <f t="shared" si="2"/>
        <v>1153</v>
      </c>
      <c r="C54" s="10">
        <v>1</v>
      </c>
      <c r="D54" s="5">
        <v>41346</v>
      </c>
      <c r="E54" s="6" t="s">
        <v>342</v>
      </c>
      <c r="F54" s="33">
        <v>120</v>
      </c>
      <c r="G54" s="31"/>
      <c r="H54" s="31"/>
      <c r="I54" s="31"/>
      <c r="J54" s="31"/>
      <c r="K54" s="31"/>
      <c r="L54" s="6">
        <f t="shared" si="32"/>
        <v>-201.03896103896102</v>
      </c>
      <c r="M54" s="6">
        <f>SQRT((L54*L54)/COUNT(B54:B82))</f>
        <v>37.331997856893018</v>
      </c>
      <c r="N54" s="31"/>
      <c r="O54" s="31"/>
      <c r="P54" s="31"/>
      <c r="Q54" s="31"/>
      <c r="R54" s="31"/>
      <c r="T54" s="6">
        <f>DAYS360("31-12-2009",U54)</f>
        <v>858</v>
      </c>
      <c r="U54" s="5">
        <v>41047</v>
      </c>
      <c r="V54" s="30" t="s">
        <v>349</v>
      </c>
      <c r="W54" s="33">
        <v>30</v>
      </c>
      <c r="X54" s="31"/>
      <c r="Y54" s="31"/>
      <c r="Z54" s="31"/>
      <c r="AA54" s="31"/>
      <c r="AB54" s="31"/>
      <c r="AC54" s="31"/>
      <c r="AD54" s="31"/>
      <c r="AE54" s="31"/>
      <c r="AF54" s="31"/>
      <c r="AG54" s="31"/>
      <c r="AH54" s="31"/>
      <c r="AI54" s="31"/>
      <c r="AJ54">
        <f t="shared" si="27"/>
        <v>241</v>
      </c>
      <c r="AK54" s="6">
        <f t="shared" si="4"/>
        <v>0.26018334716566116</v>
      </c>
      <c r="AL54" s="6">
        <f t="shared" si="5"/>
        <v>6.6679003312164337E-2</v>
      </c>
      <c r="AM54" s="6">
        <f t="shared" si="6"/>
        <v>0.13196611630143124</v>
      </c>
      <c r="AN54" s="6">
        <f t="shared" si="7"/>
        <v>1.0222856904426303E-3</v>
      </c>
      <c r="AO54" s="6">
        <f t="shared" si="8"/>
        <v>1.6827416929022353E-2</v>
      </c>
      <c r="AP54" s="6">
        <f t="shared" si="9"/>
        <v>0.26018334716566116</v>
      </c>
      <c r="AQ54" s="6">
        <f t="shared" si="10"/>
        <v>0.51103909124644864</v>
      </c>
      <c r="AR54" s="6">
        <f t="shared" si="11"/>
        <v>0.51103909124644864</v>
      </c>
      <c r="AS54" s="6">
        <f t="shared" si="12"/>
        <v>0.13196611630143124</v>
      </c>
      <c r="AT54" s="6">
        <f t="shared" si="13"/>
        <v>3.3561819008007962E-2</v>
      </c>
      <c r="AU54" s="6">
        <f t="shared" si="14"/>
        <v>6.6679003312164337E-2</v>
      </c>
      <c r="AV54" s="6">
        <f t="shared" si="15"/>
        <v>8.8663665863642546E-3</v>
      </c>
      <c r="AW54" s="6">
        <f t="shared" si="16"/>
        <v>0.51103909124644864</v>
      </c>
      <c r="AX54" s="6">
        <f t="shared" si="17"/>
        <v>6.6679003312164337E-2</v>
      </c>
      <c r="AY54" s="6">
        <f t="shared" si="18"/>
        <v>0.51103909124644864</v>
      </c>
      <c r="AZ54" s="6">
        <f t="shared" si="19"/>
        <v>0.13196611630143124</v>
      </c>
      <c r="BA54" s="6">
        <f t="shared" si="20"/>
        <v>8.0667871390996144E-3</v>
      </c>
      <c r="BB54" s="6">
        <f t="shared" si="21"/>
        <v>0.66875518420847802</v>
      </c>
      <c r="BC54" s="6">
        <f t="shared" si="22"/>
        <v>0.51103909124644864</v>
      </c>
      <c r="BD54" s="6">
        <f t="shared" si="23"/>
        <v>0.76484992597270185</v>
      </c>
      <c r="BE54" s="6">
        <f t="shared" si="24"/>
        <v>0.51103909124644864</v>
      </c>
      <c r="BF54" s="6">
        <f t="shared" si="25"/>
        <v>0.51008170636248185</v>
      </c>
      <c r="BG54" s="6">
        <f t="shared" si="26"/>
        <v>0.87462215131990939</v>
      </c>
    </row>
    <row r="55" spans="2:59" x14ac:dyDescent="0.25">
      <c r="B55" s="6">
        <f t="shared" si="2"/>
        <v>1154</v>
      </c>
      <c r="C55" s="10">
        <v>1</v>
      </c>
      <c r="D55" s="5">
        <v>41347</v>
      </c>
      <c r="E55" s="6" t="s">
        <v>342</v>
      </c>
      <c r="F55" s="33">
        <f>12*60</f>
        <v>720</v>
      </c>
      <c r="G55" s="31"/>
      <c r="H55" s="31"/>
      <c r="I55" s="31"/>
      <c r="J55" s="31"/>
      <c r="K55" s="31"/>
      <c r="L55" s="6">
        <f t="shared" si="32"/>
        <v>398.96103896103898</v>
      </c>
      <c r="M55" s="6">
        <f>SQRT((L55*L55)/COUNT(B55:B83))</f>
        <v>75.396549421061437</v>
      </c>
      <c r="N55" s="31"/>
      <c r="O55" s="31"/>
      <c r="P55" s="31"/>
      <c r="Q55" s="31"/>
      <c r="R55" s="31"/>
      <c r="T55" s="6">
        <f>DAYS360("31-12-2009",U55)</f>
        <v>909</v>
      </c>
      <c r="U55" s="5">
        <v>41099</v>
      </c>
      <c r="V55" s="30" t="s">
        <v>349</v>
      </c>
      <c r="W55" s="33">
        <v>60</v>
      </c>
      <c r="X55" s="31"/>
      <c r="Y55" s="31"/>
      <c r="Z55" s="31"/>
      <c r="AA55" s="31"/>
      <c r="AB55" s="31"/>
      <c r="AC55" s="31"/>
      <c r="AD55" s="31"/>
      <c r="AE55" s="31"/>
      <c r="AF55" s="31"/>
      <c r="AG55" s="31"/>
      <c r="AH55" s="31"/>
      <c r="AI55" s="31"/>
      <c r="AJ55">
        <f t="shared" si="27"/>
        <v>246</v>
      </c>
      <c r="AK55" s="6">
        <f t="shared" si="4"/>
        <v>0.2530162214320788</v>
      </c>
      <c r="AL55" s="6">
        <f t="shared" si="5"/>
        <v>6.303627379128858E-2</v>
      </c>
      <c r="AM55" s="6">
        <f t="shared" si="6"/>
        <v>0.12653619430435736</v>
      </c>
      <c r="AN55" s="6">
        <f t="shared" si="7"/>
        <v>8.8619687227557145E-4</v>
      </c>
      <c r="AO55" s="6">
        <f t="shared" si="8"/>
        <v>1.5460119203230144E-2</v>
      </c>
      <c r="AP55" s="6">
        <f t="shared" si="9"/>
        <v>0.2530162214320788</v>
      </c>
      <c r="AQ55" s="6">
        <f t="shared" si="10"/>
        <v>0.50397089086335345</v>
      </c>
      <c r="AR55" s="6">
        <f t="shared" si="11"/>
        <v>0.50397089086335345</v>
      </c>
      <c r="AS55" s="6">
        <f t="shared" si="12"/>
        <v>0.12653619430435736</v>
      </c>
      <c r="AT55" s="6">
        <f t="shared" si="13"/>
        <v>3.1279613097278273E-2</v>
      </c>
      <c r="AU55" s="6">
        <f t="shared" si="14"/>
        <v>6.303627379128858E-2</v>
      </c>
      <c r="AV55" s="6">
        <f t="shared" si="15"/>
        <v>8.0383663095751311E-3</v>
      </c>
      <c r="AW55" s="6">
        <f t="shared" si="16"/>
        <v>0.50397089086335345</v>
      </c>
      <c r="AX55" s="6">
        <f t="shared" si="17"/>
        <v>6.303627379128858E-2</v>
      </c>
      <c r="AY55" s="6">
        <f t="shared" si="18"/>
        <v>0.50397089086335345</v>
      </c>
      <c r="AZ55" s="6">
        <f t="shared" si="19"/>
        <v>0.12653619430435736</v>
      </c>
      <c r="BA55" s="6">
        <f t="shared" si="20"/>
        <v>7.2991308467885829E-3</v>
      </c>
      <c r="BB55" s="6">
        <f t="shared" si="21"/>
        <v>0.66319615413922939</v>
      </c>
      <c r="BC55" s="6">
        <f t="shared" si="22"/>
        <v>0.50397089086335345</v>
      </c>
      <c r="BD55" s="6">
        <f t="shared" si="23"/>
        <v>0.76060784078212607</v>
      </c>
      <c r="BE55" s="6">
        <f t="shared" si="24"/>
        <v>0.50397089086335345</v>
      </c>
      <c r="BF55" s="6">
        <f t="shared" si="25"/>
        <v>0.50300717831068653</v>
      </c>
      <c r="BG55" s="6">
        <f t="shared" si="26"/>
        <v>0.87219466980702953</v>
      </c>
    </row>
    <row r="56" spans="2:59" x14ac:dyDescent="0.25">
      <c r="B56" s="6">
        <f t="shared" si="2"/>
        <v>1167</v>
      </c>
      <c r="C56" s="10">
        <v>1</v>
      </c>
      <c r="D56" s="5">
        <v>41360</v>
      </c>
      <c r="E56" s="6" t="s">
        <v>342</v>
      </c>
      <c r="F56" s="33">
        <v>120</v>
      </c>
      <c r="G56" s="31"/>
      <c r="H56" s="31"/>
      <c r="I56" s="31"/>
      <c r="J56" s="31"/>
      <c r="K56" s="31"/>
      <c r="L56" s="6">
        <f t="shared" si="32"/>
        <v>-201.03896103896102</v>
      </c>
      <c r="M56" s="6">
        <f>SQRT((L56*L56)/COUNT(B56:B84))</f>
        <v>38.689966091148946</v>
      </c>
      <c r="N56" s="31"/>
      <c r="O56" s="31"/>
      <c r="P56" s="31"/>
      <c r="Q56" s="31"/>
      <c r="R56" s="31"/>
      <c r="T56" s="6">
        <f>DAYS360("31-12-2009",U56)</f>
        <v>993</v>
      </c>
      <c r="U56" s="5">
        <v>41185</v>
      </c>
      <c r="V56" s="30" t="s">
        <v>349</v>
      </c>
      <c r="W56" s="33">
        <v>120</v>
      </c>
      <c r="X56" s="33">
        <f>COUNT(W53:W56)</f>
        <v>4</v>
      </c>
      <c r="Y56" s="33">
        <f>SUM(W53:W56)</f>
        <v>270</v>
      </c>
      <c r="Z56" s="6">
        <f>($F$86-Y56)/X56</f>
        <v>129532.5</v>
      </c>
      <c r="AA56" s="6">
        <f>INT(Z56/60/24)</f>
        <v>89</v>
      </c>
      <c r="AB56" s="6">
        <f>Y56/X56</f>
        <v>67.5</v>
      </c>
      <c r="AC56" s="6">
        <f>Y56-W57</f>
        <v>130.66666666666666</v>
      </c>
      <c r="AD56" s="33">
        <f>SQRT((AC56*AC56)/COUNT(W53:W56))</f>
        <v>65.333333333333329</v>
      </c>
      <c r="AE56" s="6">
        <f>1/AA56</f>
        <v>1.1235955056179775E-2</v>
      </c>
      <c r="AF56" s="6">
        <f>AE56*EXP(-AE56*(365*1))</f>
        <v>1.8600072893790504E-4</v>
      </c>
      <c r="AG56" s="6">
        <f>1-EXP(-AE56*(365*1))</f>
        <v>0.98344593512452649</v>
      </c>
      <c r="AH56" s="6">
        <f>EXP(-AE56*(365*1))</f>
        <v>1.6554064875473548E-2</v>
      </c>
      <c r="AI56" s="6">
        <f>$F$86/(Y56+$F$86)*100</f>
        <v>99.947943779281616</v>
      </c>
      <c r="AJ56">
        <f t="shared" si="27"/>
        <v>251</v>
      </c>
      <c r="AK56" s="6">
        <f t="shared" si="4"/>
        <v>0.24604652451875172</v>
      </c>
      <c r="AL56" s="6">
        <f t="shared" si="5"/>
        <v>5.9592549619969994E-2</v>
      </c>
      <c r="AM56" s="6">
        <f t="shared" si="6"/>
        <v>0.12132969369544465</v>
      </c>
      <c r="AN56" s="6">
        <f t="shared" si="7"/>
        <v>7.6822448340342772E-4</v>
      </c>
      <c r="AO56" s="6">
        <f t="shared" si="8"/>
        <v>1.4203920113600683E-2</v>
      </c>
      <c r="AP56" s="6">
        <f t="shared" si="9"/>
        <v>0.24604652451875172</v>
      </c>
      <c r="AQ56" s="6">
        <f t="shared" si="10"/>
        <v>0.4970004510185641</v>
      </c>
      <c r="AR56" s="6">
        <f t="shared" si="11"/>
        <v>0.4970004510185641</v>
      </c>
      <c r="AS56" s="6">
        <f t="shared" si="12"/>
        <v>0.12132969369544465</v>
      </c>
      <c r="AT56" s="6">
        <f t="shared" si="13"/>
        <v>2.9152597339314953E-2</v>
      </c>
      <c r="AU56" s="6">
        <f t="shared" si="14"/>
        <v>5.9592549619969994E-2</v>
      </c>
      <c r="AV56" s="6">
        <f t="shared" si="15"/>
        <v>7.2876902051721539E-3</v>
      </c>
      <c r="AW56" s="6">
        <f t="shared" si="16"/>
        <v>0.4970004510185641</v>
      </c>
      <c r="AX56" s="6">
        <f t="shared" si="17"/>
        <v>5.9592549619969994E-2</v>
      </c>
      <c r="AY56" s="6">
        <f t="shared" si="18"/>
        <v>0.4970004510185641</v>
      </c>
      <c r="AZ56" s="6">
        <f t="shared" si="19"/>
        <v>0.12132969369544465</v>
      </c>
      <c r="BA56" s="6">
        <f t="shared" si="20"/>
        <v>6.6045267093148051E-3</v>
      </c>
      <c r="BB56" s="6">
        <f t="shared" si="21"/>
        <v>0.65768333352904806</v>
      </c>
      <c r="BC56" s="6">
        <f t="shared" si="22"/>
        <v>0.4970004510185641</v>
      </c>
      <c r="BD56" s="6">
        <f t="shared" si="23"/>
        <v>0.75638928345780621</v>
      </c>
      <c r="BE56" s="6">
        <f t="shared" si="24"/>
        <v>0.4970004510185641</v>
      </c>
      <c r="BF56" s="6">
        <f t="shared" si="25"/>
        <v>0.49603076972981397</v>
      </c>
      <c r="BG56" s="6">
        <f t="shared" si="26"/>
        <v>0.86977392567952971</v>
      </c>
    </row>
    <row r="57" spans="2:59" x14ac:dyDescent="0.25">
      <c r="B57" s="6">
        <f t="shared" si="2"/>
        <v>1168</v>
      </c>
      <c r="C57" s="10">
        <v>1</v>
      </c>
      <c r="D57" s="5">
        <v>41361</v>
      </c>
      <c r="E57" s="6" t="s">
        <v>342</v>
      </c>
      <c r="F57" s="33">
        <v>60</v>
      </c>
      <c r="G57" s="31"/>
      <c r="H57" s="31"/>
      <c r="I57" s="31"/>
      <c r="J57" s="31"/>
      <c r="K57" s="31"/>
      <c r="L57" s="6">
        <f t="shared" si="32"/>
        <v>-261.03896103896102</v>
      </c>
      <c r="M57" s="6">
        <f>SQRT((L57*L57)/COUNT(B57:B88))</f>
        <v>51.193952159448038</v>
      </c>
      <c r="N57" s="31"/>
      <c r="O57" s="31"/>
      <c r="P57" s="31"/>
      <c r="Q57" s="31"/>
      <c r="R57" s="31"/>
      <c r="T57" s="31"/>
      <c r="U57" s="31"/>
      <c r="V57" s="43" t="s">
        <v>235</v>
      </c>
      <c r="W57" s="6">
        <f>AVERAGE(W48:W56)</f>
        <v>139.33333333333334</v>
      </c>
      <c r="X57" s="31"/>
      <c r="Y57" s="31"/>
      <c r="Z57" s="31"/>
      <c r="AA57" s="31"/>
      <c r="AB57" s="31"/>
      <c r="AC57" s="31"/>
      <c r="AD57" s="31"/>
      <c r="AE57" s="31"/>
      <c r="AF57" s="31"/>
      <c r="AG57" s="31"/>
      <c r="AH57" s="31"/>
      <c r="AI57" s="31"/>
      <c r="AJ57">
        <f t="shared" si="27"/>
        <v>256</v>
      </c>
      <c r="AK57" s="6">
        <f t="shared" si="4"/>
        <v>0.23926881796394273</v>
      </c>
      <c r="AL57" s="6">
        <f t="shared" si="5"/>
        <v>5.633695897011224E-2</v>
      </c>
      <c r="AM57" s="6">
        <f t="shared" si="6"/>
        <v>0.11633742150346545</v>
      </c>
      <c r="AN57" s="6">
        <f t="shared" si="7"/>
        <v>6.6595682670943137E-4</v>
      </c>
      <c r="AO57" s="6">
        <f t="shared" si="8"/>
        <v>1.3049792433126746E-2</v>
      </c>
      <c r="AP57" s="6">
        <f t="shared" si="9"/>
        <v>0.23926881796394273</v>
      </c>
      <c r="AQ57" s="6">
        <f t="shared" si="10"/>
        <v>0.49012641958249575</v>
      </c>
      <c r="AR57" s="6">
        <f t="shared" si="11"/>
        <v>0.49012641958249575</v>
      </c>
      <c r="AS57" s="6">
        <f t="shared" si="12"/>
        <v>0.11633742150346545</v>
      </c>
      <c r="AT57" s="6">
        <f t="shared" si="13"/>
        <v>2.7170218793472964E-2</v>
      </c>
      <c r="AU57" s="6">
        <f t="shared" si="14"/>
        <v>5.633695897011224E-2</v>
      </c>
      <c r="AV57" s="6">
        <f t="shared" si="15"/>
        <v>6.6071172277006318E-3</v>
      </c>
      <c r="AW57" s="6">
        <f t="shared" si="16"/>
        <v>0.49012641958249575</v>
      </c>
      <c r="AX57" s="6">
        <f t="shared" si="17"/>
        <v>5.633695897011224E-2</v>
      </c>
      <c r="AY57" s="6">
        <f t="shared" si="18"/>
        <v>0.49012641958249575</v>
      </c>
      <c r="AZ57" s="6">
        <f t="shared" si="19"/>
        <v>0.11633742150346545</v>
      </c>
      <c r="BA57" s="6">
        <f t="shared" si="20"/>
        <v>5.9760228950059427E-3</v>
      </c>
      <c r="BB57" s="6">
        <f t="shared" si="21"/>
        <v>0.65221633826162606</v>
      </c>
      <c r="BC57" s="6">
        <f t="shared" si="22"/>
        <v>0.49012641958249575</v>
      </c>
      <c r="BD57" s="6">
        <f t="shared" si="23"/>
        <v>0.75219412350719761</v>
      </c>
      <c r="BE57" s="6">
        <f t="shared" si="24"/>
        <v>0.49012641958249575</v>
      </c>
      <c r="BF57" s="6">
        <f t="shared" si="25"/>
        <v>0.48915111976151371</v>
      </c>
      <c r="BG57" s="6">
        <f t="shared" si="26"/>
        <v>0.86735990023804532</v>
      </c>
    </row>
    <row r="58" spans="2:59" x14ac:dyDescent="0.25">
      <c r="B58" s="6">
        <f t="shared" si="2"/>
        <v>1171</v>
      </c>
      <c r="C58" s="10">
        <v>1</v>
      </c>
      <c r="D58" s="5">
        <v>41365</v>
      </c>
      <c r="E58" s="6" t="s">
        <v>342</v>
      </c>
      <c r="F58" s="33">
        <v>60</v>
      </c>
      <c r="G58" s="31"/>
      <c r="H58" s="31"/>
      <c r="I58" s="31"/>
      <c r="J58" s="31"/>
      <c r="K58" s="31"/>
      <c r="L58" s="6">
        <f t="shared" si="32"/>
        <v>-261.03896103896102</v>
      </c>
      <c r="M58" s="6">
        <f>SQRT((L58*L58)/COUNT(B58:B89))</f>
        <v>52.207792207792203</v>
      </c>
      <c r="N58" s="31"/>
      <c r="O58" s="31"/>
      <c r="P58" s="31"/>
      <c r="Q58" s="31"/>
      <c r="R58" s="31"/>
      <c r="T58" s="6">
        <f t="shared" ref="T58:T64" si="34">DAYS360("31-12-2009",U58)</f>
        <v>1108</v>
      </c>
      <c r="U58" s="5">
        <v>41302</v>
      </c>
      <c r="V58" s="6" t="s">
        <v>349</v>
      </c>
      <c r="W58" s="33">
        <v>60</v>
      </c>
      <c r="X58" s="31"/>
      <c r="Y58" s="31"/>
      <c r="Z58" s="31"/>
      <c r="AA58" s="31"/>
      <c r="AB58" s="31"/>
      <c r="AC58" s="31"/>
      <c r="AD58" s="31"/>
      <c r="AE58" s="31"/>
      <c r="AF58" s="31"/>
      <c r="AG58" s="31"/>
      <c r="AH58" s="31"/>
      <c r="AI58" s="31"/>
      <c r="AJ58">
        <f t="shared" si="27"/>
        <v>261</v>
      </c>
      <c r="AK58" s="6">
        <f t="shared" si="4"/>
        <v>0.23267781311619076</v>
      </c>
      <c r="AL58" s="6">
        <f t="shared" si="5"/>
        <v>5.3259223950648416E-2</v>
      </c>
      <c r="AM58" s="6">
        <f t="shared" si="6"/>
        <v>0.11155056301426348</v>
      </c>
      <c r="AN58" s="6">
        <f t="shared" si="7"/>
        <v>5.7730325526216735E-4</v>
      </c>
      <c r="AO58" s="6">
        <f t="shared" si="8"/>
        <v>1.1989442434601379E-2</v>
      </c>
      <c r="AP58" s="6">
        <f t="shared" si="9"/>
        <v>0.23267781311619076</v>
      </c>
      <c r="AQ58" s="6">
        <f t="shared" si="10"/>
        <v>0.48334746312691729</v>
      </c>
      <c r="AR58" s="6">
        <f t="shared" si="11"/>
        <v>0.48334746312691729</v>
      </c>
      <c r="AS58" s="6">
        <f t="shared" si="12"/>
        <v>0.11155056301426348</v>
      </c>
      <c r="AT58" s="6">
        <f t="shared" si="13"/>
        <v>2.5322642119768621E-2</v>
      </c>
      <c r="AU58" s="6">
        <f t="shared" si="14"/>
        <v>5.3259223950648416E-2</v>
      </c>
      <c r="AV58" s="6">
        <f t="shared" si="15"/>
        <v>5.9901006809533102E-3</v>
      </c>
      <c r="AW58" s="6">
        <f t="shared" si="16"/>
        <v>0.48334746312691729</v>
      </c>
      <c r="AX58" s="6">
        <f t="shared" si="17"/>
        <v>5.3259223950648416E-2</v>
      </c>
      <c r="AY58" s="6">
        <f t="shared" si="18"/>
        <v>0.48334746312691729</v>
      </c>
      <c r="AZ58" s="6">
        <f t="shared" si="19"/>
        <v>0.11155056301426348</v>
      </c>
      <c r="BA58" s="6">
        <f t="shared" si="20"/>
        <v>5.4073291264409599E-3</v>
      </c>
      <c r="BB58" s="6">
        <f t="shared" si="21"/>
        <v>0.6467947874136234</v>
      </c>
      <c r="BC58" s="6">
        <f t="shared" si="22"/>
        <v>0.48334746312691729</v>
      </c>
      <c r="BD58" s="6">
        <f t="shared" si="23"/>
        <v>0.74802223116150635</v>
      </c>
      <c r="BE58" s="6">
        <f t="shared" si="24"/>
        <v>0.48334746312691729</v>
      </c>
      <c r="BF58" s="6">
        <f t="shared" si="25"/>
        <v>0.48236688642172648</v>
      </c>
      <c r="BG58" s="6">
        <f t="shared" si="26"/>
        <v>0.86495257483511145</v>
      </c>
    </row>
    <row r="59" spans="2:59" x14ac:dyDescent="0.25">
      <c r="B59" s="6">
        <f t="shared" si="2"/>
        <v>1271</v>
      </c>
      <c r="C59" s="10">
        <v>1</v>
      </c>
      <c r="D59" s="5">
        <v>41466</v>
      </c>
      <c r="E59" s="6" t="s">
        <v>342</v>
      </c>
      <c r="F59" s="33">
        <v>120</v>
      </c>
      <c r="G59" s="31"/>
      <c r="H59" s="31"/>
      <c r="I59" s="31"/>
      <c r="J59" s="31"/>
      <c r="K59" s="31"/>
      <c r="L59" s="6">
        <f t="shared" si="32"/>
        <v>-201.03896103896102</v>
      </c>
      <c r="M59" s="6">
        <f t="shared" ref="M59:M69" si="35">SQRT((L59*L59)/COUNT(B59:B99))</f>
        <v>41.0369060803935</v>
      </c>
      <c r="N59" s="31"/>
      <c r="O59" s="31"/>
      <c r="P59" s="31"/>
      <c r="Q59" s="31"/>
      <c r="R59" s="31"/>
      <c r="T59" s="6">
        <f t="shared" si="34"/>
        <v>1109</v>
      </c>
      <c r="U59" s="5">
        <v>41303</v>
      </c>
      <c r="V59" s="6" t="s">
        <v>349</v>
      </c>
      <c r="W59" s="33">
        <v>120</v>
      </c>
      <c r="X59" s="31"/>
      <c r="Y59" s="31"/>
      <c r="Z59" s="31"/>
      <c r="AA59" s="31"/>
      <c r="AB59" s="31"/>
      <c r="AC59" s="31"/>
      <c r="AD59" s="31"/>
      <c r="AE59" s="31"/>
      <c r="AF59" s="31"/>
      <c r="AG59" s="31"/>
      <c r="AH59" s="31"/>
      <c r="AI59" s="31"/>
      <c r="AJ59">
        <f t="shared" si="27"/>
        <v>266</v>
      </c>
      <c r="AK59" s="6">
        <f t="shared" si="4"/>
        <v>0.22626836700757058</v>
      </c>
      <c r="AL59" s="6">
        <f t="shared" si="5"/>
        <v>5.0349628160266141E-2</v>
      </c>
      <c r="AM59" s="6">
        <f t="shared" si="6"/>
        <v>0.10696066620686187</v>
      </c>
      <c r="AN59" s="6">
        <f t="shared" si="7"/>
        <v>5.0045143344061083E-4</v>
      </c>
      <c r="AO59" s="6">
        <f t="shared" si="8"/>
        <v>1.101525029070353E-2</v>
      </c>
      <c r="AP59" s="6">
        <f t="shared" si="9"/>
        <v>0.22626836700757058</v>
      </c>
      <c r="AQ59" s="6">
        <f t="shared" si="10"/>
        <v>0.47666226666629236</v>
      </c>
      <c r="AR59" s="6">
        <f t="shared" si="11"/>
        <v>0.47666226666629236</v>
      </c>
      <c r="AS59" s="6">
        <f t="shared" si="12"/>
        <v>0.10696066620686187</v>
      </c>
      <c r="AT59" s="6">
        <f t="shared" si="13"/>
        <v>2.3600700781987172E-2</v>
      </c>
      <c r="AU59" s="6">
        <f t="shared" si="14"/>
        <v>5.0349628160266141E-2</v>
      </c>
      <c r="AV59" s="6">
        <f t="shared" si="15"/>
        <v>5.4307052427529671E-3</v>
      </c>
      <c r="AW59" s="6">
        <f t="shared" si="16"/>
        <v>0.47666226666629236</v>
      </c>
      <c r="AX59" s="6">
        <f t="shared" si="17"/>
        <v>5.0349628160266141E-2</v>
      </c>
      <c r="AY59" s="6">
        <f t="shared" si="18"/>
        <v>0.47666226666629236</v>
      </c>
      <c r="AZ59" s="6">
        <f t="shared" si="19"/>
        <v>0.10696066620686187</v>
      </c>
      <c r="BA59" s="6">
        <f t="shared" si="20"/>
        <v>4.8927537252394758E-3</v>
      </c>
      <c r="BB59" s="6">
        <f t="shared" si="21"/>
        <v>0.64141830322812698</v>
      </c>
      <c r="BC59" s="6">
        <f t="shared" si="22"/>
        <v>0.47666226666629236</v>
      </c>
      <c r="BD59" s="6">
        <f t="shared" si="23"/>
        <v>0.74387347737167475</v>
      </c>
      <c r="BE59" s="6">
        <f t="shared" si="24"/>
        <v>0.47666226666629236</v>
      </c>
      <c r="BF59" s="6">
        <f t="shared" si="25"/>
        <v>0.47567674633890877</v>
      </c>
      <c r="BG59" s="6">
        <f t="shared" si="26"/>
        <v>0.86255193087501791</v>
      </c>
    </row>
    <row r="60" spans="2:59" x14ac:dyDescent="0.25">
      <c r="B60" s="6">
        <f t="shared" si="2"/>
        <v>1275</v>
      </c>
      <c r="C60" s="10">
        <v>1</v>
      </c>
      <c r="D60" s="5">
        <v>41470</v>
      </c>
      <c r="E60" s="6" t="s">
        <v>342</v>
      </c>
      <c r="F60" s="33">
        <v>120</v>
      </c>
      <c r="G60" s="31"/>
      <c r="H60" s="31"/>
      <c r="I60" s="31"/>
      <c r="J60" s="31"/>
      <c r="K60" s="31"/>
      <c r="L60" s="6">
        <f t="shared" si="32"/>
        <v>-201.03896103896102</v>
      </c>
      <c r="M60" s="6">
        <f t="shared" si="35"/>
        <v>41.919521163682042</v>
      </c>
      <c r="N60" s="31"/>
      <c r="O60" s="31"/>
      <c r="P60" s="31"/>
      <c r="Q60" s="31"/>
      <c r="R60" s="31"/>
      <c r="T60" s="6">
        <f t="shared" si="34"/>
        <v>1117</v>
      </c>
      <c r="U60" s="5">
        <v>41312</v>
      </c>
      <c r="V60" s="6" t="s">
        <v>349</v>
      </c>
      <c r="W60" s="33">
        <v>150</v>
      </c>
      <c r="X60" s="31"/>
      <c r="Y60" s="31"/>
      <c r="Z60" s="31"/>
      <c r="AA60" s="31"/>
      <c r="AB60" s="31"/>
      <c r="AC60" s="31"/>
      <c r="AD60" s="31"/>
      <c r="AE60" s="31"/>
      <c r="AF60" s="31"/>
      <c r="AG60" s="31"/>
      <c r="AH60" s="31"/>
      <c r="AI60" s="31"/>
      <c r="AJ60">
        <f t="shared" si="27"/>
        <v>271</v>
      </c>
      <c r="AK60" s="6">
        <f t="shared" si="4"/>
        <v>0.22003547834062961</v>
      </c>
      <c r="AL60" s="6">
        <f t="shared" si="5"/>
        <v>4.7598986012754328E-2</v>
      </c>
      <c r="AM60" s="6">
        <f t="shared" si="6"/>
        <v>0.10255962682996832</v>
      </c>
      <c r="AN60" s="6">
        <f t="shared" si="7"/>
        <v>4.338302875479644E-4</v>
      </c>
      <c r="AO60" s="6">
        <f t="shared" si="8"/>
        <v>1.0120215316824985E-2</v>
      </c>
      <c r="AP60" s="6">
        <f t="shared" si="9"/>
        <v>0.22003547834062961</v>
      </c>
      <c r="AQ60" s="6">
        <f t="shared" si="10"/>
        <v>0.47006953340269758</v>
      </c>
      <c r="AR60" s="6">
        <f t="shared" si="11"/>
        <v>0.47006953340269758</v>
      </c>
      <c r="AS60" s="6">
        <f t="shared" si="12"/>
        <v>0.10255962682996832</v>
      </c>
      <c r="AT60" s="6">
        <f t="shared" si="13"/>
        <v>2.1995851568982285E-2</v>
      </c>
      <c r="AU60" s="6">
        <f t="shared" si="14"/>
        <v>4.7598986012754328E-2</v>
      </c>
      <c r="AV60" s="6">
        <f t="shared" si="15"/>
        <v>4.9235498707796222E-3</v>
      </c>
      <c r="AW60" s="6">
        <f t="shared" si="16"/>
        <v>0.47006953340269758</v>
      </c>
      <c r="AX60" s="6">
        <f t="shared" si="17"/>
        <v>4.7598986012754328E-2</v>
      </c>
      <c r="AY60" s="6">
        <f t="shared" si="18"/>
        <v>0.47006953340269758</v>
      </c>
      <c r="AZ60" s="6">
        <f t="shared" si="19"/>
        <v>0.10255962682996832</v>
      </c>
      <c r="BA60" s="6">
        <f t="shared" si="20"/>
        <v>4.4271466478315114E-3</v>
      </c>
      <c r="BB60" s="6">
        <f t="shared" si="21"/>
        <v>0.63608651108832948</v>
      </c>
      <c r="BC60" s="6">
        <f t="shared" si="22"/>
        <v>0.47006953340269758</v>
      </c>
      <c r="BD60" s="6">
        <f t="shared" si="23"/>
        <v>0.73974773380438941</v>
      </c>
      <c r="BE60" s="6">
        <f t="shared" si="24"/>
        <v>0.47006953340269758</v>
      </c>
      <c r="BF60" s="6">
        <f t="shared" si="25"/>
        <v>0.46907939449588876</v>
      </c>
      <c r="BG60" s="6">
        <f t="shared" si="26"/>
        <v>0.860157949813667</v>
      </c>
    </row>
    <row r="61" spans="2:59" x14ac:dyDescent="0.25">
      <c r="B61" s="6">
        <f t="shared" si="2"/>
        <v>1290</v>
      </c>
      <c r="C61" s="10">
        <v>1</v>
      </c>
      <c r="D61" s="5">
        <v>41485</v>
      </c>
      <c r="E61" s="6" t="s">
        <v>342</v>
      </c>
      <c r="F61" s="33">
        <v>180</v>
      </c>
      <c r="G61" s="31"/>
      <c r="H61" s="31"/>
      <c r="I61" s="31"/>
      <c r="J61" s="31"/>
      <c r="K61" s="31"/>
      <c r="L61" s="6">
        <f t="shared" si="32"/>
        <v>-141.03896103896102</v>
      </c>
      <c r="M61" s="6">
        <f t="shared" si="35"/>
        <v>30.069607527557519</v>
      </c>
      <c r="N61" s="31"/>
      <c r="O61" s="31"/>
      <c r="P61" s="31"/>
      <c r="Q61" s="31"/>
      <c r="R61" s="31"/>
      <c r="T61" s="6">
        <f t="shared" si="34"/>
        <v>1136</v>
      </c>
      <c r="U61" s="5">
        <v>41331</v>
      </c>
      <c r="V61" s="6" t="s">
        <v>349</v>
      </c>
      <c r="W61" s="33">
        <v>30</v>
      </c>
      <c r="X61" s="31"/>
      <c r="Y61" s="31"/>
      <c r="Z61" s="31"/>
      <c r="AA61" s="31"/>
      <c r="AB61" s="31"/>
      <c r="AC61" s="31"/>
      <c r="AD61" s="31"/>
      <c r="AE61" s="31"/>
      <c r="AF61" s="31"/>
      <c r="AG61" s="31"/>
      <c r="AH61" s="31"/>
      <c r="AI61" s="31"/>
      <c r="AJ61">
        <f t="shared" si="27"/>
        <v>276</v>
      </c>
      <c r="AK61" s="6">
        <f t="shared" si="4"/>
        <v>0.21397428358587031</v>
      </c>
      <c r="AL61" s="6">
        <f t="shared" si="5"/>
        <v>4.4998613738131875E-2</v>
      </c>
      <c r="AM61" s="6">
        <f t="shared" si="6"/>
        <v>9.8339674092526932E-2</v>
      </c>
      <c r="AN61" s="6">
        <f t="shared" si="7"/>
        <v>3.7607788851759695E-4</v>
      </c>
      <c r="AO61" s="6">
        <f t="shared" si="8"/>
        <v>9.2979056631456412E-3</v>
      </c>
      <c r="AP61" s="6">
        <f t="shared" si="9"/>
        <v>0.21397428358587031</v>
      </c>
      <c r="AQ61" s="6">
        <f t="shared" si="10"/>
        <v>0.46356798447426928</v>
      </c>
      <c r="AR61" s="6">
        <f t="shared" si="11"/>
        <v>0.46356798447426928</v>
      </c>
      <c r="AS61" s="6">
        <f t="shared" si="12"/>
        <v>9.8339674092526932E-2</v>
      </c>
      <c r="AT61" s="6">
        <f t="shared" si="13"/>
        <v>2.050013220853027E-2</v>
      </c>
      <c r="AU61" s="6">
        <f t="shared" si="14"/>
        <v>4.4998613738131875E-2</v>
      </c>
      <c r="AV61" s="6">
        <f t="shared" si="15"/>
        <v>4.4637560402312378E-3</v>
      </c>
      <c r="AW61" s="6">
        <f t="shared" si="16"/>
        <v>0.46356798447426928</v>
      </c>
      <c r="AX61" s="6">
        <f t="shared" si="17"/>
        <v>4.4998613738131875E-2</v>
      </c>
      <c r="AY61" s="6">
        <f t="shared" si="18"/>
        <v>0.46356798447426928</v>
      </c>
      <c r="AZ61" s="6">
        <f t="shared" si="19"/>
        <v>9.8339674092526932E-2</v>
      </c>
      <c r="BA61" s="6">
        <f t="shared" si="20"/>
        <v>4.0058479420904168E-3</v>
      </c>
      <c r="BB61" s="6">
        <f t="shared" si="21"/>
        <v>0.63079903949142713</v>
      </c>
      <c r="BC61" s="6">
        <f t="shared" si="22"/>
        <v>0.46356798447426928</v>
      </c>
      <c r="BD61" s="6">
        <f t="shared" si="23"/>
        <v>0.73564487283811197</v>
      </c>
      <c r="BE61" s="6">
        <f t="shared" si="24"/>
        <v>0.46356798447426928</v>
      </c>
      <c r="BF61" s="6">
        <f t="shared" si="25"/>
        <v>0.46257354397530159</v>
      </c>
      <c r="BG61" s="6">
        <f t="shared" si="26"/>
        <v>0.85777061315842873</v>
      </c>
    </row>
    <row r="62" spans="2:59" x14ac:dyDescent="0.25">
      <c r="B62" s="6">
        <f t="shared" si="2"/>
        <v>1316</v>
      </c>
      <c r="C62" s="10">
        <v>1</v>
      </c>
      <c r="D62" s="5">
        <v>41512</v>
      </c>
      <c r="E62" s="6" t="s">
        <v>342</v>
      </c>
      <c r="F62" s="33">
        <v>120</v>
      </c>
      <c r="G62" s="31"/>
      <c r="H62" s="31"/>
      <c r="I62" s="31"/>
      <c r="J62" s="31"/>
      <c r="K62" s="31"/>
      <c r="L62" s="6">
        <f t="shared" si="32"/>
        <v>-201.03896103896102</v>
      </c>
      <c r="M62" s="6">
        <f t="shared" si="35"/>
        <v>43.870297933157943</v>
      </c>
      <c r="N62" s="31"/>
      <c r="O62" s="31"/>
      <c r="P62" s="31"/>
      <c r="Q62" s="31"/>
      <c r="R62" s="31"/>
      <c r="T62" s="6">
        <f t="shared" si="34"/>
        <v>1149</v>
      </c>
      <c r="U62" s="5">
        <v>41342</v>
      </c>
      <c r="V62" s="6" t="s">
        <v>349</v>
      </c>
      <c r="W62" s="33">
        <v>60</v>
      </c>
      <c r="X62" s="31"/>
      <c r="Y62" s="31"/>
      <c r="Z62" s="31"/>
      <c r="AA62" s="31"/>
      <c r="AB62" s="31"/>
      <c r="AC62" s="31"/>
      <c r="AD62" s="31"/>
      <c r="AE62" s="31"/>
      <c r="AF62" s="31"/>
      <c r="AG62" s="31"/>
      <c r="AH62" s="31"/>
      <c r="AI62" s="31"/>
      <c r="AJ62">
        <f t="shared" si="27"/>
        <v>281</v>
      </c>
      <c r="AK62" s="6">
        <f t="shared" si="4"/>
        <v>0.20808005318673303</v>
      </c>
      <c r="AL62" s="6">
        <f t="shared" si="5"/>
        <v>4.2540301968008676E-2</v>
      </c>
      <c r="AM62" s="6">
        <f t="shared" si="6"/>
        <v>9.4293356943051951E-2</v>
      </c>
      <c r="AN62" s="6">
        <f t="shared" si="7"/>
        <v>3.2601361014061728E-4</v>
      </c>
      <c r="AO62" s="6">
        <f t="shared" si="8"/>
        <v>8.5424120944373426E-3</v>
      </c>
      <c r="AP62" s="6">
        <f t="shared" si="9"/>
        <v>0.20808005318673303</v>
      </c>
      <c r="AQ62" s="6">
        <f t="shared" si="10"/>
        <v>0.45715635870712901</v>
      </c>
      <c r="AR62" s="6">
        <f t="shared" si="11"/>
        <v>0.45715635870712901</v>
      </c>
      <c r="AS62" s="6">
        <f t="shared" si="12"/>
        <v>9.4293356943051951E-2</v>
      </c>
      <c r="AT62" s="6">
        <f t="shared" si="13"/>
        <v>1.9106121863444851E-2</v>
      </c>
      <c r="AU62" s="6">
        <f t="shared" si="14"/>
        <v>4.2540301968008676E-2</v>
      </c>
      <c r="AV62" s="6">
        <f t="shared" si="15"/>
        <v>4.0469008153959912E-3</v>
      </c>
      <c r="AW62" s="6">
        <f t="shared" si="16"/>
        <v>0.45715635870712901</v>
      </c>
      <c r="AX62" s="6">
        <f t="shared" si="17"/>
        <v>4.2540301968008676E-2</v>
      </c>
      <c r="AY62" s="6">
        <f t="shared" si="18"/>
        <v>0.45715635870712901</v>
      </c>
      <c r="AZ62" s="6">
        <f t="shared" si="19"/>
        <v>9.4293356943051951E-2</v>
      </c>
      <c r="BA62" s="6">
        <f t="shared" si="20"/>
        <v>3.6246411089657558E-3</v>
      </c>
      <c r="BB62" s="6">
        <f t="shared" si="21"/>
        <v>0.62555552002273485</v>
      </c>
      <c r="BC62" s="6">
        <f t="shared" si="22"/>
        <v>0.45715635870712901</v>
      </c>
      <c r="BD62" s="6">
        <f t="shared" si="23"/>
        <v>0.7315647675591308</v>
      </c>
      <c r="BE62" s="6">
        <f t="shared" si="24"/>
        <v>0.45715635870712901</v>
      </c>
      <c r="BF62" s="6">
        <f t="shared" si="25"/>
        <v>0.45615792570855657</v>
      </c>
      <c r="BG62" s="6">
        <f t="shared" si="26"/>
        <v>0.85538990246799929</v>
      </c>
    </row>
    <row r="63" spans="2:59" x14ac:dyDescent="0.25">
      <c r="B63" s="6">
        <f t="shared" si="2"/>
        <v>1364</v>
      </c>
      <c r="C63" s="10">
        <v>1</v>
      </c>
      <c r="D63" s="5">
        <v>41561</v>
      </c>
      <c r="E63" s="6" t="s">
        <v>342</v>
      </c>
      <c r="F63" s="33">
        <v>60</v>
      </c>
      <c r="G63" s="31"/>
      <c r="H63" s="31"/>
      <c r="I63" s="31"/>
      <c r="J63" s="31"/>
      <c r="K63" s="31"/>
      <c r="L63" s="6">
        <f t="shared" si="32"/>
        <v>-261.03896103896102</v>
      </c>
      <c r="M63" s="6">
        <f t="shared" si="35"/>
        <v>58.370086165903601</v>
      </c>
      <c r="N63" s="31"/>
      <c r="O63" s="31"/>
      <c r="P63" s="31"/>
      <c r="Q63" s="31"/>
      <c r="R63" s="31"/>
      <c r="T63" s="6">
        <f t="shared" si="34"/>
        <v>1271</v>
      </c>
      <c r="U63" s="5">
        <v>41466</v>
      </c>
      <c r="V63" s="6" t="s">
        <v>349</v>
      </c>
      <c r="W63" s="33">
        <v>120</v>
      </c>
      <c r="X63" s="31"/>
      <c r="Y63" s="31"/>
      <c r="Z63" s="31"/>
      <c r="AA63" s="31"/>
      <c r="AB63" s="31"/>
      <c r="AC63" s="31"/>
      <c r="AD63" s="31"/>
      <c r="AE63" s="31"/>
      <c r="AF63" s="31"/>
      <c r="AG63" s="31"/>
      <c r="AH63" s="31"/>
      <c r="AI63" s="31"/>
      <c r="AJ63">
        <f t="shared" si="27"/>
        <v>286</v>
      </c>
      <c r="AK63" s="6">
        <f t="shared" si="4"/>
        <v>0.2023481878691181</v>
      </c>
      <c r="AL63" s="6">
        <f t="shared" si="5"/>
        <v>4.0216289818631464E-2</v>
      </c>
      <c r="AM63" s="6">
        <f t="shared" si="6"/>
        <v>9.0413530913516352E-2</v>
      </c>
      <c r="AN63" s="6">
        <f t="shared" si="7"/>
        <v>2.8261399364867297E-4</v>
      </c>
      <c r="AO63" s="6">
        <f t="shared" si="8"/>
        <v>7.8483055254511321E-3</v>
      </c>
      <c r="AP63" s="6">
        <f t="shared" si="9"/>
        <v>0.2023481878691181</v>
      </c>
      <c r="AQ63" s="6">
        <f t="shared" si="10"/>
        <v>0.45083341237074037</v>
      </c>
      <c r="AR63" s="6">
        <f t="shared" si="11"/>
        <v>0.45083341237074037</v>
      </c>
      <c r="AS63" s="6">
        <f t="shared" si="12"/>
        <v>9.0413530913516352E-2</v>
      </c>
      <c r="AT63" s="6">
        <f t="shared" si="13"/>
        <v>1.7806904313958892E-2</v>
      </c>
      <c r="AU63" s="6">
        <f t="shared" si="14"/>
        <v>4.0216289818631464E-2</v>
      </c>
      <c r="AV63" s="6">
        <f t="shared" si="15"/>
        <v>3.6689743037131421E-3</v>
      </c>
      <c r="AW63" s="6">
        <f t="shared" si="16"/>
        <v>0.45083341237074037</v>
      </c>
      <c r="AX63" s="6">
        <f t="shared" si="17"/>
        <v>4.0216289818631464E-2</v>
      </c>
      <c r="AY63" s="6">
        <f t="shared" si="18"/>
        <v>0.45083341237074037</v>
      </c>
      <c r="AZ63" s="6">
        <f t="shared" si="19"/>
        <v>9.0413530913516352E-2</v>
      </c>
      <c r="BA63" s="6">
        <f t="shared" si="20"/>
        <v>3.279710902343573E-3</v>
      </c>
      <c r="BB63" s="6">
        <f t="shared" si="21"/>
        <v>0.62035558733001595</v>
      </c>
      <c r="BC63" s="6">
        <f t="shared" si="22"/>
        <v>0.45083341237074037</v>
      </c>
      <c r="BD63" s="6">
        <f t="shared" si="23"/>
        <v>0.72750729175763562</v>
      </c>
      <c r="BE63" s="6">
        <f t="shared" si="24"/>
        <v>0.45083341237074037</v>
      </c>
      <c r="BF63" s="6">
        <f t="shared" si="25"/>
        <v>0.44983128822828461</v>
      </c>
      <c r="BG63" s="6">
        <f t="shared" si="26"/>
        <v>0.85301579935225769</v>
      </c>
    </row>
    <row r="64" spans="2:59" x14ac:dyDescent="0.25">
      <c r="B64" s="6">
        <f t="shared" si="2"/>
        <v>1369</v>
      </c>
      <c r="C64" s="10">
        <v>1</v>
      </c>
      <c r="D64" s="5">
        <v>41566</v>
      </c>
      <c r="E64" s="6" t="s">
        <v>342</v>
      </c>
      <c r="F64" s="33">
        <v>150</v>
      </c>
      <c r="G64" s="31"/>
      <c r="H64" s="31"/>
      <c r="I64" s="31"/>
      <c r="J64" s="31"/>
      <c r="K64" s="31"/>
      <c r="L64" s="6">
        <f t="shared" si="32"/>
        <v>-171.03896103896102</v>
      </c>
      <c r="M64" s="6">
        <f t="shared" si="35"/>
        <v>39.239028767211664</v>
      </c>
      <c r="N64" s="31"/>
      <c r="O64" s="31"/>
      <c r="P64" s="31"/>
      <c r="Q64" s="31"/>
      <c r="R64" s="31"/>
      <c r="T64" s="6">
        <f t="shared" si="34"/>
        <v>1275</v>
      </c>
      <c r="U64" s="5">
        <v>41470</v>
      </c>
      <c r="V64" s="6" t="s">
        <v>349</v>
      </c>
      <c r="W64" s="33">
        <v>120</v>
      </c>
      <c r="X64" s="33">
        <f>COUNT(W58:W64)</f>
        <v>7</v>
      </c>
      <c r="Y64" s="33">
        <f>SUM(W58:W64)</f>
        <v>660</v>
      </c>
      <c r="Z64" s="6">
        <f>($F$86-Y64)/X64</f>
        <v>73962.857142857145</v>
      </c>
      <c r="AA64" s="6">
        <f>INT(Z64/60/24)</f>
        <v>51</v>
      </c>
      <c r="AB64" s="6">
        <f>Y64/X64</f>
        <v>94.285714285714292</v>
      </c>
      <c r="AC64" s="6">
        <f>Y64-W65</f>
        <v>565.71428571428567</v>
      </c>
      <c r="AD64" s="33">
        <f>SQRT((AC64*AC64)/COUNT(W58:W64))</f>
        <v>213.81990187379139</v>
      </c>
      <c r="AE64" s="6">
        <f>1/AA64</f>
        <v>1.9607843137254902E-2</v>
      </c>
      <c r="AF64" s="6">
        <f>AE64*EXP(-AE64*(365*1))</f>
        <v>1.5284239204988931E-5</v>
      </c>
      <c r="AG64" s="6">
        <f>1-EXP(-AE64*(365*1))</f>
        <v>0.99922050380054561</v>
      </c>
      <c r="AH64" s="6">
        <f>EXP(-AE64*(365*1))</f>
        <v>7.7949619945443546E-4</v>
      </c>
      <c r="AI64" s="6">
        <f>$F$86/(Y64+$F$86)*100</f>
        <v>99.872847069702914</v>
      </c>
      <c r="AJ64">
        <f t="shared" si="27"/>
        <v>291</v>
      </c>
      <c r="AK64" s="6">
        <f t="shared" si="4"/>
        <v>0.19677421505256759</v>
      </c>
      <c r="AL64" s="6">
        <f t="shared" si="5"/>
        <v>3.801924038979429E-2</v>
      </c>
      <c r="AM64" s="6">
        <f t="shared" si="6"/>
        <v>8.6693345504566074E-2</v>
      </c>
      <c r="AN64" s="6">
        <f t="shared" si="7"/>
        <v>2.449918252541729E-4</v>
      </c>
      <c r="AO64" s="6">
        <f t="shared" si="8"/>
        <v>7.2105980067312513E-3</v>
      </c>
      <c r="AP64" s="6">
        <f t="shared" si="9"/>
        <v>0.19677421505256759</v>
      </c>
      <c r="AQ64" s="6">
        <f t="shared" si="10"/>
        <v>0.44459791893664952</v>
      </c>
      <c r="AR64" s="6">
        <f t="shared" si="11"/>
        <v>0.44459791893664952</v>
      </c>
      <c r="AS64" s="6">
        <f t="shared" si="12"/>
        <v>8.6693345504566074E-2</v>
      </c>
      <c r="AT64" s="6">
        <f t="shared" si="13"/>
        <v>1.6596033643706532E-2</v>
      </c>
      <c r="AU64" s="6">
        <f t="shared" si="14"/>
        <v>3.801924038979429E-2</v>
      </c>
      <c r="AV64" s="6">
        <f t="shared" si="15"/>
        <v>3.3263410830566948E-3</v>
      </c>
      <c r="AW64" s="6">
        <f t="shared" si="16"/>
        <v>0.44459791893664952</v>
      </c>
      <c r="AX64" s="6">
        <f t="shared" si="17"/>
        <v>3.801924038979429E-2</v>
      </c>
      <c r="AY64" s="6">
        <f t="shared" si="18"/>
        <v>0.44459791893664952</v>
      </c>
      <c r="AZ64" s="6">
        <f t="shared" si="19"/>
        <v>8.6693345504566074E-2</v>
      </c>
      <c r="BA64" s="6">
        <f t="shared" si="20"/>
        <v>2.9676051447809441E-3</v>
      </c>
      <c r="BB64" s="6">
        <f t="shared" si="21"/>
        <v>0.61519887909802584</v>
      </c>
      <c r="BC64" s="6">
        <f t="shared" si="22"/>
        <v>0.44459791893664952</v>
      </c>
      <c r="BD64" s="6">
        <f t="shared" si="23"/>
        <v>0.72347231992381322</v>
      </c>
      <c r="BE64" s="6">
        <f t="shared" si="24"/>
        <v>0.44459791893664952</v>
      </c>
      <c r="BF64" s="6">
        <f t="shared" si="25"/>
        <v>0.44359239742422052</v>
      </c>
      <c r="BG64" s="6">
        <f t="shared" si="26"/>
        <v>0.85064828547212434</v>
      </c>
    </row>
    <row r="65" spans="2:59" x14ac:dyDescent="0.25">
      <c r="B65" s="6">
        <f t="shared" si="2"/>
        <v>1370</v>
      </c>
      <c r="C65" s="10">
        <v>1</v>
      </c>
      <c r="D65" s="5">
        <v>41567</v>
      </c>
      <c r="E65" s="6" t="s">
        <v>342</v>
      </c>
      <c r="F65" s="33">
        <v>120</v>
      </c>
      <c r="G65" s="31"/>
      <c r="H65" s="31"/>
      <c r="I65" s="31"/>
      <c r="J65" s="31"/>
      <c r="K65" s="31"/>
      <c r="L65" s="6">
        <f t="shared" si="32"/>
        <v>-201.03896103896102</v>
      </c>
      <c r="M65" s="6">
        <f t="shared" si="35"/>
        <v>47.385337544449158</v>
      </c>
      <c r="N65" s="31"/>
      <c r="O65" s="31"/>
      <c r="P65" s="31"/>
      <c r="Q65" s="31"/>
      <c r="R65" s="31"/>
      <c r="T65" s="31"/>
      <c r="U65" s="31"/>
      <c r="V65" s="43" t="s">
        <v>235</v>
      </c>
      <c r="W65" s="6">
        <f>AVERAGE(W58:W64)</f>
        <v>94.285714285714292</v>
      </c>
      <c r="X65" s="31"/>
      <c r="Y65" s="31"/>
      <c r="Z65" s="31"/>
      <c r="AA65" s="31"/>
      <c r="AB65" s="31"/>
      <c r="AC65" s="31"/>
      <c r="AD65" s="31"/>
      <c r="AE65" s="31"/>
      <c r="AF65" s="31"/>
      <c r="AG65" s="31"/>
      <c r="AH65" s="31"/>
      <c r="AI65" s="31"/>
      <c r="AJ65">
        <f t="shared" si="27"/>
        <v>296</v>
      </c>
      <c r="AK65" s="6">
        <f t="shared" si="4"/>
        <v>0.19135378536030612</v>
      </c>
      <c r="AL65" s="6">
        <f t="shared" si="5"/>
        <v>3.5942217602263959E-2</v>
      </c>
      <c r="AM65" s="6">
        <f t="shared" si="6"/>
        <v>8.3126232089786686E-2</v>
      </c>
      <c r="AN65" s="6">
        <f t="shared" si="7"/>
        <v>2.1237799893230065E-4</v>
      </c>
      <c r="AO65" s="6">
        <f t="shared" si="8"/>
        <v>6.6247068804941916E-3</v>
      </c>
      <c r="AP65" s="6">
        <f t="shared" si="9"/>
        <v>0.19135378536030612</v>
      </c>
      <c r="AQ65" s="6">
        <f t="shared" si="10"/>
        <v>0.43844866884056272</v>
      </c>
      <c r="AR65" s="6">
        <f t="shared" si="11"/>
        <v>0.43844866884056272</v>
      </c>
      <c r="AS65" s="6">
        <f t="shared" si="12"/>
        <v>8.3126232089786686E-2</v>
      </c>
      <c r="AT65" s="6">
        <f t="shared" si="13"/>
        <v>1.546750225906084E-2</v>
      </c>
      <c r="AU65" s="6">
        <f t="shared" si="14"/>
        <v>3.5942217602263959E-2</v>
      </c>
      <c r="AV65" s="6">
        <f t="shared" si="15"/>
        <v>3.015705231195829E-3</v>
      </c>
      <c r="AW65" s="6">
        <f t="shared" si="16"/>
        <v>0.43844866884056272</v>
      </c>
      <c r="AX65" s="6">
        <f t="shared" si="17"/>
        <v>3.5942217602263959E-2</v>
      </c>
      <c r="AY65" s="6">
        <f t="shared" si="18"/>
        <v>0.43844866884056272</v>
      </c>
      <c r="AZ65" s="6">
        <f t="shared" si="19"/>
        <v>8.3126232089786686E-2</v>
      </c>
      <c r="BA65" s="6">
        <f t="shared" si="20"/>
        <v>2.6852001769538205E-3</v>
      </c>
      <c r="BB65" s="6">
        <f t="shared" si="21"/>
        <v>0.61008503602326636</v>
      </c>
      <c r="BC65" s="6">
        <f t="shared" si="22"/>
        <v>0.43844866884056272</v>
      </c>
      <c r="BD65" s="6">
        <f t="shared" si="23"/>
        <v>0.71945972724396523</v>
      </c>
      <c r="BE65" s="6">
        <f t="shared" si="24"/>
        <v>0.43844866884056272</v>
      </c>
      <c r="BF65" s="6">
        <f t="shared" si="25"/>
        <v>0.43744003630246986</v>
      </c>
      <c r="BG65" s="6">
        <f t="shared" si="26"/>
        <v>0.84828734253941862</v>
      </c>
    </row>
    <row r="66" spans="2:59" x14ac:dyDescent="0.25">
      <c r="B66" s="6">
        <f t="shared" si="2"/>
        <v>1391</v>
      </c>
      <c r="C66" s="10">
        <v>1</v>
      </c>
      <c r="D66" s="5">
        <v>41589</v>
      </c>
      <c r="E66" s="6" t="s">
        <v>342</v>
      </c>
      <c r="F66" s="33">
        <v>240</v>
      </c>
      <c r="G66" s="31"/>
      <c r="H66" s="31"/>
      <c r="I66" s="31"/>
      <c r="J66" s="31"/>
      <c r="K66" s="31"/>
      <c r="L66" s="6">
        <f t="shared" si="32"/>
        <v>-81.03896103896102</v>
      </c>
      <c r="M66" s="6">
        <f t="shared" si="35"/>
        <v>19.654835067879446</v>
      </c>
      <c r="N66" s="31"/>
      <c r="O66" s="31"/>
      <c r="P66" s="31"/>
      <c r="Q66" s="31"/>
      <c r="R66" s="31"/>
      <c r="T66" s="6">
        <f>DAYS360("31-12-2009",U66)</f>
        <v>1592</v>
      </c>
      <c r="U66" s="5">
        <v>41792</v>
      </c>
      <c r="V66" s="6" t="s">
        <v>349</v>
      </c>
      <c r="W66" s="6">
        <v>30</v>
      </c>
      <c r="X66" s="33">
        <f>COUNT(W66)</f>
        <v>1</v>
      </c>
      <c r="Y66" s="33">
        <f>SUM(W66)</f>
        <v>30</v>
      </c>
      <c r="Z66" s="6">
        <f>($F$86-Y66)/X66</f>
        <v>518370</v>
      </c>
      <c r="AA66" s="6">
        <f>INT(Z66/60/24)</f>
        <v>359</v>
      </c>
      <c r="AB66" s="6">
        <f>Y66/X66</f>
        <v>30</v>
      </c>
      <c r="AC66" s="6">
        <f>Y66-W67</f>
        <v>0</v>
      </c>
      <c r="AD66" s="33">
        <f>SQRT((AC66*AC66)/COUNT(W66))</f>
        <v>0</v>
      </c>
      <c r="AE66" s="6">
        <f>1/AA66</f>
        <v>2.7855153203342618E-3</v>
      </c>
      <c r="AF66" s="6">
        <f>AE66*EXP(-AE66*(365*1))</f>
        <v>1.007749673042332E-3</v>
      </c>
      <c r="AG66" s="6">
        <f>1-EXP(-AE66*(365*1))</f>
        <v>0.63821786737780273</v>
      </c>
      <c r="AH66" s="6">
        <f>EXP(-AE66*(365*1))</f>
        <v>0.36178213262219722</v>
      </c>
      <c r="AI66" s="6">
        <f>$F$86/(Y66+$F$86)*100</f>
        <v>99.994213297841554</v>
      </c>
      <c r="AJ66">
        <f t="shared" si="27"/>
        <v>301</v>
      </c>
      <c r="AK66" s="6">
        <f t="shared" si="4"/>
        <v>0.1860826692254175</v>
      </c>
      <c r="AL66" s="6">
        <f t="shared" si="5"/>
        <v>3.3978664300596338E-2</v>
      </c>
      <c r="AM66" s="6">
        <f t="shared" si="6"/>
        <v>7.9705892317665172E-2</v>
      </c>
      <c r="AN66" s="6">
        <f t="shared" si="7"/>
        <v>1.8410579366757919E-4</v>
      </c>
      <c r="AO66" s="6">
        <f t="shared" si="8"/>
        <v>6.0864218489919755E-3</v>
      </c>
      <c r="AP66" s="6">
        <f t="shared" si="9"/>
        <v>0.1860826692254175</v>
      </c>
      <c r="AQ66" s="6">
        <f t="shared" si="10"/>
        <v>0.43238446924771412</v>
      </c>
      <c r="AR66" s="6">
        <f t="shared" si="11"/>
        <v>0.43238446924771412</v>
      </c>
      <c r="AS66" s="6">
        <f t="shared" si="12"/>
        <v>7.9705892317665172E-2</v>
      </c>
      <c r="AT66" s="6">
        <f t="shared" si="13"/>
        <v>1.4415711083158521E-2</v>
      </c>
      <c r="AU66" s="6">
        <f t="shared" si="14"/>
        <v>3.3978664300596338E-2</v>
      </c>
      <c r="AV66" s="6">
        <f t="shared" si="15"/>
        <v>2.7340786210368526E-3</v>
      </c>
      <c r="AW66" s="6">
        <f t="shared" si="16"/>
        <v>0.43238446924771412</v>
      </c>
      <c r="AX66" s="6">
        <f t="shared" si="17"/>
        <v>3.3978664300596338E-2</v>
      </c>
      <c r="AY66" s="6">
        <f t="shared" si="18"/>
        <v>0.43238446924771412</v>
      </c>
      <c r="AZ66" s="6">
        <f t="shared" si="19"/>
        <v>7.9705892317665172E-2</v>
      </c>
      <c r="BA66" s="6">
        <f t="shared" si="20"/>
        <v>2.4296695950245953E-3</v>
      </c>
      <c r="BB66" s="6">
        <f t="shared" si="21"/>
        <v>0.60501370178895153</v>
      </c>
      <c r="BC66" s="6">
        <f t="shared" si="22"/>
        <v>0.43238446924771412</v>
      </c>
      <c r="BD66" s="6">
        <f t="shared" si="23"/>
        <v>0.71546938959664719</v>
      </c>
      <c r="BE66" s="6">
        <f t="shared" si="24"/>
        <v>0.43238446924771412</v>
      </c>
      <c r="BF66" s="6">
        <f t="shared" si="25"/>
        <v>0.4313730047481153</v>
      </c>
      <c r="BG66" s="6">
        <f t="shared" si="26"/>
        <v>0.84593295231671872</v>
      </c>
    </row>
    <row r="67" spans="2:59" x14ac:dyDescent="0.25">
      <c r="B67" s="6">
        <f t="shared" si="2"/>
        <v>1400</v>
      </c>
      <c r="C67" s="10">
        <v>1</v>
      </c>
      <c r="D67" s="5">
        <v>41598</v>
      </c>
      <c r="E67" s="6" t="s">
        <v>342</v>
      </c>
      <c r="F67" s="33">
        <v>90</v>
      </c>
      <c r="G67" s="31"/>
      <c r="H67" s="31"/>
      <c r="I67" s="31"/>
      <c r="J67" s="31"/>
      <c r="K67" s="31"/>
      <c r="L67" s="6">
        <f t="shared" si="32"/>
        <v>-231.03896103896102</v>
      </c>
      <c r="M67" s="6">
        <f t="shared" si="35"/>
        <v>57.759740259740255</v>
      </c>
      <c r="N67" s="31"/>
      <c r="O67" s="31"/>
      <c r="P67" s="31"/>
      <c r="Q67" s="31"/>
      <c r="R67" s="31"/>
      <c r="T67" s="31"/>
      <c r="U67" s="31"/>
      <c r="V67" s="43" t="s">
        <v>235</v>
      </c>
      <c r="W67" s="6">
        <f>AVERAGE(W66)</f>
        <v>30</v>
      </c>
      <c r="X67" s="31"/>
      <c r="Y67" s="31"/>
      <c r="Z67" s="31"/>
      <c r="AA67" s="31"/>
      <c r="AB67" s="31"/>
      <c r="AC67" s="31"/>
      <c r="AD67" s="31"/>
      <c r="AE67" s="31"/>
      <c r="AF67" s="31"/>
      <c r="AG67" s="31"/>
      <c r="AH67" s="31"/>
      <c r="AI67" s="31"/>
      <c r="AJ67">
        <f t="shared" si="27"/>
        <v>306</v>
      </c>
      <c r="AK67" s="6">
        <f t="shared" si="4"/>
        <v>0.18095675359050942</v>
      </c>
      <c r="AL67" s="6">
        <f t="shared" si="5"/>
        <v>3.2122381552213863E-2</v>
      </c>
      <c r="AM67" s="6">
        <f t="shared" si="6"/>
        <v>7.6426286990768116E-2</v>
      </c>
      <c r="AN67" s="6">
        <f t="shared" si="7"/>
        <v>1.5959724374639141E-4</v>
      </c>
      <c r="AO67" s="6">
        <f t="shared" si="8"/>
        <v>5.5918747187080698E-3</v>
      </c>
      <c r="AP67" s="6">
        <f t="shared" si="9"/>
        <v>0.18095675359050942</v>
      </c>
      <c r="AQ67" s="6">
        <f t="shared" si="10"/>
        <v>0.42640414382147923</v>
      </c>
      <c r="AR67" s="6">
        <f t="shared" si="11"/>
        <v>0.42640414382147923</v>
      </c>
      <c r="AS67" s="6">
        <f t="shared" si="12"/>
        <v>7.6426286990768116E-2</v>
      </c>
      <c r="AT67" s="6">
        <f t="shared" si="13"/>
        <v>1.3435441776733089E-2</v>
      </c>
      <c r="AU67" s="6">
        <f t="shared" si="14"/>
        <v>3.2122381552213863E-2</v>
      </c>
      <c r="AV67" s="6">
        <f t="shared" si="15"/>
        <v>2.4787521766663585E-3</v>
      </c>
      <c r="AW67" s="6">
        <f t="shared" si="16"/>
        <v>0.42640414382147923</v>
      </c>
      <c r="AX67" s="6">
        <f t="shared" si="17"/>
        <v>3.2122381552213863E-2</v>
      </c>
      <c r="AY67" s="6">
        <f t="shared" si="18"/>
        <v>0.42640414382147923</v>
      </c>
      <c r="AZ67" s="6">
        <f t="shared" si="19"/>
        <v>7.6426286990768116E-2</v>
      </c>
      <c r="BA67" s="6">
        <f t="shared" si="20"/>
        <v>2.1984559630425313E-3</v>
      </c>
      <c r="BB67" s="6">
        <f t="shared" si="21"/>
        <v>0.59998452304017968</v>
      </c>
      <c r="BC67" s="6">
        <f t="shared" si="22"/>
        <v>0.42640414382147923</v>
      </c>
      <c r="BD67" s="6">
        <f t="shared" si="23"/>
        <v>0.71150118354882885</v>
      </c>
      <c r="BE67" s="6">
        <f t="shared" si="24"/>
        <v>0.42640414382147923</v>
      </c>
      <c r="BF67" s="6">
        <f t="shared" si="25"/>
        <v>0.42539011929111542</v>
      </c>
      <c r="BG67" s="6">
        <f t="shared" si="26"/>
        <v>0.84358509661721948</v>
      </c>
    </row>
    <row r="68" spans="2:59" x14ac:dyDescent="0.25">
      <c r="B68" s="6">
        <f t="shared" si="2"/>
        <v>1405</v>
      </c>
      <c r="C68" s="10">
        <v>1</v>
      </c>
      <c r="D68" s="5">
        <v>41603</v>
      </c>
      <c r="E68" s="6" t="s">
        <v>342</v>
      </c>
      <c r="F68" s="33">
        <f>8*60</f>
        <v>480</v>
      </c>
      <c r="G68" s="31"/>
      <c r="H68" s="31"/>
      <c r="I68" s="31"/>
      <c r="J68" s="31"/>
      <c r="K68" s="31"/>
      <c r="L68" s="6">
        <f t="shared" si="32"/>
        <v>158.96103896103898</v>
      </c>
      <c r="M68" s="6">
        <f t="shared" si="35"/>
        <v>41.043563772795487</v>
      </c>
      <c r="N68" s="31"/>
      <c r="O68" s="31"/>
      <c r="P68" s="31"/>
      <c r="Q68" s="31"/>
      <c r="R68" s="31"/>
      <c r="T68" s="6">
        <f>DAYS360("31-12-2009",U68)</f>
        <v>1828</v>
      </c>
      <c r="U68" s="5">
        <v>42032</v>
      </c>
      <c r="V68" s="6" t="s">
        <v>349</v>
      </c>
      <c r="W68" s="30">
        <v>20</v>
      </c>
      <c r="X68" s="31"/>
      <c r="Y68" s="31"/>
      <c r="Z68" s="31"/>
      <c r="AA68" s="31"/>
      <c r="AB68" s="31"/>
      <c r="AC68" s="31"/>
      <c r="AD68" s="31"/>
      <c r="AE68" s="31"/>
      <c r="AF68" s="31"/>
      <c r="AG68" s="31"/>
      <c r="AH68" s="31"/>
      <c r="AI68" s="31"/>
      <c r="AJ68">
        <f t="shared" si="27"/>
        <v>311</v>
      </c>
      <c r="AK68" s="6">
        <f t="shared" si="4"/>
        <v>0.1759720386982904</v>
      </c>
      <c r="AL68" s="6">
        <f t="shared" si="5"/>
        <v>3.0367509077391847E-2</v>
      </c>
      <c r="AM68" s="6">
        <f t="shared" si="6"/>
        <v>7.3281625402501355E-2</v>
      </c>
      <c r="AN68" s="6">
        <f t="shared" si="7"/>
        <v>1.3835132346478942E-4</v>
      </c>
      <c r="AO68" s="6">
        <f t="shared" si="8"/>
        <v>5.1375116029634413E-3</v>
      </c>
      <c r="AP68" s="6">
        <f t="shared" si="9"/>
        <v>0.1759720386982904</v>
      </c>
      <c r="AQ68" s="6">
        <f t="shared" si="10"/>
        <v>0.42050653249518855</v>
      </c>
      <c r="AR68" s="6">
        <f t="shared" si="11"/>
        <v>0.42050653249518855</v>
      </c>
      <c r="AS68" s="6">
        <f t="shared" si="12"/>
        <v>7.3281625402501355E-2</v>
      </c>
      <c r="AT68" s="6">
        <f t="shared" si="13"/>
        <v>1.2521830847933063E-2</v>
      </c>
      <c r="AU68" s="6">
        <f t="shared" si="14"/>
        <v>3.0367509077391847E-2</v>
      </c>
      <c r="AV68" s="6">
        <f t="shared" si="15"/>
        <v>2.2472698136961847E-3</v>
      </c>
      <c r="AW68" s="6">
        <f t="shared" si="16"/>
        <v>0.42050653249518855</v>
      </c>
      <c r="AX68" s="6">
        <f t="shared" si="17"/>
        <v>3.0367509077391847E-2</v>
      </c>
      <c r="AY68" s="6">
        <f t="shared" si="18"/>
        <v>0.42050653249518855</v>
      </c>
      <c r="AZ68" s="6">
        <f t="shared" si="19"/>
        <v>7.3281625402501355E-2</v>
      </c>
      <c r="BA68" s="6">
        <f t="shared" si="20"/>
        <v>1.9892452172651635E-3</v>
      </c>
      <c r="BB68" s="6">
        <f t="shared" si="21"/>
        <v>0.59499714935931347</v>
      </c>
      <c r="BC68" s="6">
        <f t="shared" si="22"/>
        <v>0.42050653249518855</v>
      </c>
      <c r="BD68" s="6">
        <f t="shared" si="23"/>
        <v>0.70755498635207659</v>
      </c>
      <c r="BE68" s="6">
        <f t="shared" si="24"/>
        <v>0.42050653249518855</v>
      </c>
      <c r="BF68" s="6">
        <f t="shared" si="25"/>
        <v>0.41949021287545002</v>
      </c>
      <c r="BG68" s="6">
        <f t="shared" si="26"/>
        <v>0.841243757304593</v>
      </c>
    </row>
    <row r="69" spans="2:59" x14ac:dyDescent="0.25">
      <c r="B69" s="6">
        <f t="shared" si="2"/>
        <v>1419</v>
      </c>
      <c r="C69" s="10">
        <v>1</v>
      </c>
      <c r="D69" s="5">
        <v>41617</v>
      </c>
      <c r="E69" s="6" t="s">
        <v>342</v>
      </c>
      <c r="F69" s="33">
        <v>30</v>
      </c>
      <c r="G69" s="31"/>
      <c r="H69" s="31"/>
      <c r="I69" s="31"/>
      <c r="J69" s="31"/>
      <c r="K69" s="31"/>
      <c r="L69" s="6">
        <f t="shared" si="32"/>
        <v>-291.03896103896102</v>
      </c>
      <c r="M69" s="6">
        <f t="shared" si="35"/>
        <v>77.783434172174424</v>
      </c>
      <c r="N69" s="31"/>
      <c r="O69" s="31"/>
      <c r="P69" s="31"/>
      <c r="Q69" s="31"/>
      <c r="R69" s="31"/>
      <c r="T69" s="6">
        <f>DAYS360("31-12-2009",U69)</f>
        <v>1999</v>
      </c>
      <c r="U69" s="5">
        <v>42204</v>
      </c>
      <c r="V69" s="6" t="s">
        <v>349</v>
      </c>
      <c r="W69" s="30">
        <v>120</v>
      </c>
      <c r="X69" s="31"/>
      <c r="Y69" s="31"/>
      <c r="Z69" s="31"/>
      <c r="AA69" s="31"/>
      <c r="AB69" s="31"/>
      <c r="AC69" s="31"/>
      <c r="AD69" s="31"/>
      <c r="AE69" s="31"/>
      <c r="AF69" s="31"/>
      <c r="AG69" s="31"/>
      <c r="AH69" s="31"/>
      <c r="AI69" s="31"/>
      <c r="AJ69">
        <f t="shared" si="27"/>
        <v>316</v>
      </c>
      <c r="AK69" s="6">
        <f t="shared" si="4"/>
        <v>0.17112463497055513</v>
      </c>
      <c r="AL69" s="6">
        <f t="shared" si="5"/>
        <v>2.8708506748370884E-2</v>
      </c>
      <c r="AM69" s="6">
        <f t="shared" si="6"/>
        <v>7.0266355112622761E-2</v>
      </c>
      <c r="AN69" s="6">
        <f t="shared" si="7"/>
        <v>1.1993370471281473E-4</v>
      </c>
      <c r="AO69" s="6">
        <f t="shared" si="8"/>
        <v>4.7200673831766368E-3</v>
      </c>
      <c r="AP69" s="6">
        <f t="shared" si="9"/>
        <v>0.17112463497055513</v>
      </c>
      <c r="AQ69" s="6">
        <f t="shared" si="10"/>
        <v>0.41469049124709711</v>
      </c>
      <c r="AR69" s="6">
        <f t="shared" si="11"/>
        <v>0.41469049124709711</v>
      </c>
      <c r="AS69" s="6">
        <f t="shared" si="12"/>
        <v>7.0266355112622761E-2</v>
      </c>
      <c r="AT69" s="6">
        <f t="shared" si="13"/>
        <v>1.1670345522674276E-2</v>
      </c>
      <c r="AU69" s="6">
        <f t="shared" si="14"/>
        <v>2.8708506748370884E-2</v>
      </c>
      <c r="AV69" s="6">
        <f t="shared" si="15"/>
        <v>2.0374048132323005E-3</v>
      </c>
      <c r="AW69" s="6">
        <f t="shared" si="16"/>
        <v>0.41469049124709711</v>
      </c>
      <c r="AX69" s="6">
        <f t="shared" si="17"/>
        <v>2.8708506748370884E-2</v>
      </c>
      <c r="AY69" s="6">
        <f t="shared" si="18"/>
        <v>0.41469049124709711</v>
      </c>
      <c r="AZ69" s="6">
        <f t="shared" si="19"/>
        <v>7.0266355112622761E-2</v>
      </c>
      <c r="BA69" s="6">
        <f t="shared" si="20"/>
        <v>1.7999435062305911E-3</v>
      </c>
      <c r="BB69" s="6">
        <f t="shared" si="21"/>
        <v>0.59005123324156339</v>
      </c>
      <c r="BC69" s="6">
        <f t="shared" si="22"/>
        <v>0.41469049124709711</v>
      </c>
      <c r="BD69" s="6">
        <f t="shared" si="23"/>
        <v>0.70363067593875606</v>
      </c>
      <c r="BE69" s="6">
        <f t="shared" si="24"/>
        <v>0.41469049124709711</v>
      </c>
      <c r="BF69" s="6">
        <f t="shared" si="25"/>
        <v>0.41367213463146768</v>
      </c>
      <c r="BG69" s="6">
        <f t="shared" si="26"/>
        <v>0.83890891629284781</v>
      </c>
    </row>
    <row r="70" spans="2:59" x14ac:dyDescent="0.25">
      <c r="B70" s="6">
        <f t="shared" si="2"/>
        <v>1482</v>
      </c>
      <c r="C70" s="10">
        <v>1</v>
      </c>
      <c r="D70" s="5">
        <v>41682</v>
      </c>
      <c r="E70" s="6" t="s">
        <v>342</v>
      </c>
      <c r="F70" s="6">
        <v>180</v>
      </c>
      <c r="G70" s="31"/>
      <c r="H70" s="31"/>
      <c r="I70" s="31"/>
      <c r="J70" s="31"/>
      <c r="K70" s="31"/>
      <c r="L70" s="6">
        <f t="shared" ref="L70:L82" si="36">F70-$F$83</f>
        <v>-141.03896103896102</v>
      </c>
      <c r="M70" s="33">
        <f t="shared" ref="M70:M82" si="37">SQRT((L70*L70)/COUNT($B$6:$B$24))</f>
        <v>32.356556751094814</v>
      </c>
      <c r="N70" s="31"/>
      <c r="O70" s="31"/>
      <c r="P70" s="31"/>
      <c r="Q70" s="31"/>
      <c r="R70" s="31"/>
      <c r="T70" s="6">
        <f>DAYS360("31-12-2009",U70)</f>
        <v>2014</v>
      </c>
      <c r="U70" s="5">
        <v>42220</v>
      </c>
      <c r="V70" s="6" t="s">
        <v>349</v>
      </c>
      <c r="W70" s="30">
        <v>30</v>
      </c>
      <c r="X70" s="31"/>
      <c r="Y70" s="31"/>
      <c r="Z70" s="31"/>
      <c r="AA70" s="31"/>
      <c r="AB70" s="31"/>
      <c r="AC70" s="31"/>
      <c r="AD70" s="31"/>
      <c r="AE70" s="31"/>
      <c r="AF70" s="31"/>
      <c r="AG70" s="31"/>
      <c r="AH70" s="31"/>
      <c r="AI70" s="31"/>
      <c r="AJ70">
        <f t="shared" si="27"/>
        <v>321</v>
      </c>
      <c r="AK70" s="6">
        <f t="shared" si="4"/>
        <v>0.16641075997314245</v>
      </c>
      <c r="AL70" s="6">
        <f t="shared" si="5"/>
        <v>2.7140137099188194E-2</v>
      </c>
      <c r="AM70" s="6">
        <f t="shared" si="6"/>
        <v>6.7375152143455019E-2</v>
      </c>
      <c r="AN70" s="6">
        <f t="shared" si="7"/>
        <v>1.0396787805070336E-4</v>
      </c>
      <c r="AO70" s="6">
        <f t="shared" si="8"/>
        <v>4.336542245252907E-3</v>
      </c>
      <c r="AP70" s="6">
        <f t="shared" si="9"/>
        <v>0.16641075997314245</v>
      </c>
      <c r="AQ70" s="6">
        <f t="shared" si="10"/>
        <v>0.40895489187846656</v>
      </c>
      <c r="AR70" s="6">
        <f t="shared" si="11"/>
        <v>0.40895489187846656</v>
      </c>
      <c r="AS70" s="6">
        <f t="shared" si="12"/>
        <v>6.7375152143455019E-2</v>
      </c>
      <c r="AT70" s="6">
        <f t="shared" si="13"/>
        <v>1.0876761255809907E-2</v>
      </c>
      <c r="AU70" s="6">
        <f t="shared" si="14"/>
        <v>2.7140137099188194E-2</v>
      </c>
      <c r="AV70" s="6">
        <f t="shared" si="15"/>
        <v>1.8471384021995938E-3</v>
      </c>
      <c r="AW70" s="6">
        <f t="shared" si="16"/>
        <v>0.40895489187846656</v>
      </c>
      <c r="AX70" s="6">
        <f t="shared" si="17"/>
        <v>2.7140137099188194E-2</v>
      </c>
      <c r="AY70" s="6">
        <f t="shared" si="18"/>
        <v>0.40895489187846656</v>
      </c>
      <c r="AZ70" s="6">
        <f t="shared" si="19"/>
        <v>6.7375152143455019E-2</v>
      </c>
      <c r="BA70" s="6">
        <f t="shared" si="20"/>
        <v>1.6286562347882806E-3</v>
      </c>
      <c r="BB70" s="6">
        <f t="shared" si="21"/>
        <v>0.58514643007077471</v>
      </c>
      <c r="BC70" s="6">
        <f t="shared" si="22"/>
        <v>0.40895489187846656</v>
      </c>
      <c r="BD70" s="6">
        <f t="shared" si="23"/>
        <v>0.69972813091825592</v>
      </c>
      <c r="BE70" s="6">
        <f t="shared" si="24"/>
        <v>0.40895489187846656</v>
      </c>
      <c r="BF70" s="6">
        <f t="shared" si="25"/>
        <v>0.40793474965139026</v>
      </c>
      <c r="BG70" s="6">
        <f t="shared" si="26"/>
        <v>0.83658055554618971</v>
      </c>
    </row>
    <row r="71" spans="2:59" x14ac:dyDescent="0.25">
      <c r="B71" s="6">
        <f t="shared" ref="B71:B82" si="38">DAYS360("31-12-2009",D71)</f>
        <v>1483</v>
      </c>
      <c r="C71" s="10">
        <v>1</v>
      </c>
      <c r="D71" s="5">
        <v>41683</v>
      </c>
      <c r="E71" s="6" t="s">
        <v>342</v>
      </c>
      <c r="F71" s="6">
        <v>60</v>
      </c>
      <c r="G71" s="31"/>
      <c r="H71" s="31"/>
      <c r="I71" s="31"/>
      <c r="J71" s="31"/>
      <c r="K71" s="31"/>
      <c r="L71" s="6">
        <f t="shared" si="36"/>
        <v>-261.03896103896102</v>
      </c>
      <c r="M71" s="33">
        <f t="shared" si="37"/>
        <v>59.886444815562228</v>
      </c>
      <c r="N71" s="31"/>
      <c r="O71" s="31"/>
      <c r="P71" s="31"/>
      <c r="Q71" s="31"/>
      <c r="R71" s="31"/>
      <c r="T71" s="6">
        <f>DAYS360("31-12-2009",U71)</f>
        <v>2123</v>
      </c>
      <c r="U71" s="5">
        <v>42331</v>
      </c>
      <c r="V71" s="6" t="s">
        <v>349</v>
      </c>
      <c r="W71" s="30">
        <v>120</v>
      </c>
      <c r="X71" s="33">
        <f>COUNT(W68:W71)</f>
        <v>4</v>
      </c>
      <c r="Y71" s="33">
        <f>SUM(W68:W71)</f>
        <v>290</v>
      </c>
      <c r="Z71" s="6">
        <f>($F$86-Y71)/X71</f>
        <v>129527.5</v>
      </c>
      <c r="AA71" s="6">
        <f>INT(Z71/60/24)</f>
        <v>89</v>
      </c>
      <c r="AB71" s="6">
        <f>Y71/X71</f>
        <v>72.5</v>
      </c>
      <c r="AC71" s="6">
        <f>Y71-W72</f>
        <v>217.5</v>
      </c>
      <c r="AD71" s="33">
        <f>SQRT((AC71*AC71)/COUNT(W68:W71))</f>
        <v>108.75</v>
      </c>
      <c r="AE71" s="6">
        <f>1/AA71</f>
        <v>1.1235955056179775E-2</v>
      </c>
      <c r="AF71" s="6">
        <f>AE71*EXP(-AE71*(365*1))</f>
        <v>1.8600072893790504E-4</v>
      </c>
      <c r="AG71" s="6">
        <f>1-EXP(-AE71*(365*1))</f>
        <v>0.98344593512452649</v>
      </c>
      <c r="AH71" s="6">
        <f>EXP(-AE71*(365*1))</f>
        <v>1.6554064875473548E-2</v>
      </c>
      <c r="AI71" s="6">
        <f>$F$86/(Y71+$F$86)*100</f>
        <v>99.944089918833996</v>
      </c>
      <c r="AJ71">
        <f t="shared" si="27"/>
        <v>326</v>
      </c>
      <c r="AK71" s="6">
        <f t="shared" ref="AK71:AK79" si="39">EXP(-$AE$7*(AJ71))</f>
        <v>0.16182673546449816</v>
      </c>
      <c r="AL71" s="6">
        <f t="shared" ref="AL71:AL79" si="40">EXP(-$AE$12*(AJ71))</f>
        <v>2.5657448791011391E-2</v>
      </c>
      <c r="AM71" s="6">
        <f t="shared" ref="AM71:AM79" si="41">EXP(-$AE$16*(AJ71))</f>
        <v>6.4602911579488526E-2</v>
      </c>
      <c r="AN71" s="6">
        <f t="shared" ref="AN71:AN79" si="42">EXP(-$AE$27*(AJ71))</f>
        <v>9.0127455766076775E-5</v>
      </c>
      <c r="AO71" s="6">
        <f t="shared" ref="AO71:AO79" si="43">EXP(-$AE$34*(AJ71))</f>
        <v>3.9841801224894408E-3</v>
      </c>
      <c r="AP71" s="6">
        <f t="shared" ref="AP71:AP79" si="44">EXP(-$AE$37*(AJ71))</f>
        <v>0.16182673546449816</v>
      </c>
      <c r="AQ71" s="6">
        <f t="shared" ref="AQ71:AQ79" si="45">EXP(-$AE$39*(AJ71))</f>
        <v>0.40329862179471665</v>
      </c>
      <c r="AR71" s="6">
        <f t="shared" ref="AR71:AR79" si="46">EXP(-$AE$41*(AJ71))</f>
        <v>0.40329862179471665</v>
      </c>
      <c r="AS71" s="6">
        <f t="shared" ref="AS71:AS79" si="47">EXP(-$AE$45*(AJ71))</f>
        <v>6.4602911579488526E-2</v>
      </c>
      <c r="AT71" s="6">
        <f t="shared" ref="AT71:AT79" si="48">EXP(-$AE$51*(AJ71))</f>
        <v>1.0137140771542286E-2</v>
      </c>
      <c r="AU71" s="6">
        <f t="shared" ref="AU71:AU79" si="49">EXP(-$AE$56*(AJ71))</f>
        <v>2.5657448791011391E-2</v>
      </c>
      <c r="AV71" s="6">
        <f t="shared" ref="AV71:AV79" si="50">EXP(-$AE$64*(AJ71))</f>
        <v>1.674640333978365E-3</v>
      </c>
      <c r="AW71" s="6">
        <f t="shared" ref="AW71:AW79" si="51">EXP(-$AE$66*(AJ71))</f>
        <v>0.40329862179471665</v>
      </c>
      <c r="AX71" s="6">
        <f t="shared" ref="AX71:AX79" si="52">EXP(-$AE$71*(AJ71))</f>
        <v>2.5657448791011391E-2</v>
      </c>
      <c r="AY71" s="6">
        <f t="shared" ref="AY71:AY79" si="53">EXP(-$AE$73*(AJ71))</f>
        <v>0.40329862179471665</v>
      </c>
      <c r="AZ71" s="6">
        <f t="shared" ref="AZ71:AZ79" si="54">EXP(-$AE$77*(AJ71))</f>
        <v>6.4602911579488526E-2</v>
      </c>
      <c r="BA71" s="6">
        <f t="shared" ref="BA71:BA79" si="55">EXP(-$AE$85*(AJ71))</f>
        <v>1.4736691023539948E-3</v>
      </c>
      <c r="BB71" s="6">
        <f t="shared" ref="BB71:BB79" si="56">EXP(-$AE$89*(AJ71))</f>
        <v>0.58028239809541593</v>
      </c>
      <c r="BC71" s="6">
        <f t="shared" ref="BC71:BC78" si="57">EXP(-$AE$91*(AJ71))</f>
        <v>0.40329862179471665</v>
      </c>
      <c r="BD71" s="6">
        <f t="shared" ref="BD71:BD79" si="58">EXP(-$AE$94*(AJ71))</f>
        <v>0.69584723057323372</v>
      </c>
      <c r="BE71" s="6">
        <f t="shared" ref="BE71:BE79" si="59">EXP(-$AE$96*(AJ71))</f>
        <v>0.40329862179471665</v>
      </c>
      <c r="BF71" s="6">
        <f t="shared" ref="BF71:BF79" si="60">EXP(-$AE$102*(AJ71))</f>
        <v>0.40227693876793158</v>
      </c>
      <c r="BG71" s="6">
        <f t="shared" ref="BG71:BG79" si="61">EXP(-$AE$104*(AJ71))</f>
        <v>0.83425865707888192</v>
      </c>
    </row>
    <row r="72" spans="2:59" x14ac:dyDescent="0.25">
      <c r="B72" s="6">
        <f t="shared" si="38"/>
        <v>1514</v>
      </c>
      <c r="C72" s="10">
        <v>1</v>
      </c>
      <c r="D72" s="5">
        <v>41712</v>
      </c>
      <c r="E72" s="6" t="s">
        <v>342</v>
      </c>
      <c r="F72" s="6">
        <v>30</v>
      </c>
      <c r="G72" s="31"/>
      <c r="H72" s="31"/>
      <c r="I72" s="31"/>
      <c r="J72" s="31"/>
      <c r="K72" s="31"/>
      <c r="L72" s="6">
        <f t="shared" si="36"/>
        <v>-291.03896103896102</v>
      </c>
      <c r="M72" s="33">
        <f t="shared" si="37"/>
        <v>66.768916831679078</v>
      </c>
      <c r="N72" s="31"/>
      <c r="O72" s="31"/>
      <c r="P72" s="31"/>
      <c r="Q72" s="31"/>
      <c r="R72" s="31"/>
      <c r="T72" s="31"/>
      <c r="U72" s="71"/>
      <c r="V72" s="43" t="s">
        <v>235</v>
      </c>
      <c r="W72" s="6">
        <f>AVERAGE(W68:W71)</f>
        <v>72.5</v>
      </c>
      <c r="X72" s="31"/>
      <c r="Y72" s="31"/>
      <c r="Z72" s="31"/>
      <c r="AA72" s="31"/>
      <c r="AB72" s="31"/>
      <c r="AC72" s="31"/>
      <c r="AD72" s="31"/>
      <c r="AE72" s="31"/>
      <c r="AF72" s="31"/>
      <c r="AG72" s="31"/>
      <c r="AH72" s="31"/>
      <c r="AI72" s="31"/>
      <c r="AJ72">
        <f t="shared" ref="AJ72:AJ79" si="62">AJ71+5</f>
        <v>331</v>
      </c>
      <c r="AK72" s="6">
        <f t="shared" si="39"/>
        <v>0.15736898452553913</v>
      </c>
      <c r="AL72" s="6">
        <f t="shared" si="40"/>
        <v>2.4255760980774973E-2</v>
      </c>
      <c r="AM72" s="6">
        <f t="shared" si="41"/>
        <v>6.1944738553776177E-2</v>
      </c>
      <c r="AN72" s="6">
        <f t="shared" si="42"/>
        <v>7.8129499564323933E-5</v>
      </c>
      <c r="AO72" s="6">
        <f t="shared" si="43"/>
        <v>3.6604488900843714E-3</v>
      </c>
      <c r="AP72" s="6">
        <f t="shared" si="44"/>
        <v>0.15736898452553913</v>
      </c>
      <c r="AQ72" s="6">
        <f t="shared" si="45"/>
        <v>0.39772058378960357</v>
      </c>
      <c r="AR72" s="6">
        <f t="shared" si="46"/>
        <v>0.39772058378960357</v>
      </c>
      <c r="AS72" s="6">
        <f t="shared" si="47"/>
        <v>6.1944738553776177E-2</v>
      </c>
      <c r="AT72" s="6">
        <f t="shared" si="48"/>
        <v>9.447814529088246E-3</v>
      </c>
      <c r="AU72" s="6">
        <f t="shared" si="49"/>
        <v>2.4255760980774973E-2</v>
      </c>
      <c r="AV72" s="6">
        <f t="shared" si="50"/>
        <v>1.5182512825501497E-3</v>
      </c>
      <c r="AW72" s="6">
        <f t="shared" si="51"/>
        <v>0.39772058378960357</v>
      </c>
      <c r="AX72" s="6">
        <f t="shared" si="52"/>
        <v>2.4255760980774973E-2</v>
      </c>
      <c r="AY72" s="6">
        <f t="shared" si="53"/>
        <v>0.39772058378960357</v>
      </c>
      <c r="AZ72" s="6">
        <f t="shared" si="54"/>
        <v>6.1944738553776177E-2</v>
      </c>
      <c r="BA72" s="6">
        <f t="shared" si="55"/>
        <v>1.3334309456133593E-3</v>
      </c>
      <c r="BB72" s="6">
        <f t="shared" si="56"/>
        <v>0.57545879840476655</v>
      </c>
      <c r="BC72" s="6">
        <f t="shared" si="57"/>
        <v>0.39772058378960357</v>
      </c>
      <c r="BD72" s="6">
        <f t="shared" si="58"/>
        <v>0.69198785485588121</v>
      </c>
      <c r="BE72" s="6">
        <f t="shared" si="59"/>
        <v>0.39772058378960357</v>
      </c>
      <c r="BF72" s="6">
        <f t="shared" si="60"/>
        <v>0.39669759833598578</v>
      </c>
      <c r="BG72" s="6">
        <f t="shared" si="61"/>
        <v>0.83194320295510649</v>
      </c>
    </row>
    <row r="73" spans="2:59" x14ac:dyDescent="0.25">
      <c r="B73" s="6">
        <f t="shared" si="38"/>
        <v>1579</v>
      </c>
      <c r="C73" s="10">
        <v>1</v>
      </c>
      <c r="D73" s="5">
        <v>41778</v>
      </c>
      <c r="E73" s="6" t="s">
        <v>342</v>
      </c>
      <c r="F73" s="6">
        <v>480</v>
      </c>
      <c r="G73" s="31"/>
      <c r="H73" s="31"/>
      <c r="I73" s="31"/>
      <c r="J73" s="31"/>
      <c r="K73" s="31"/>
      <c r="L73" s="6">
        <f t="shared" si="36"/>
        <v>158.96103896103898</v>
      </c>
      <c r="M73" s="33">
        <f t="shared" si="37"/>
        <v>36.468163410073714</v>
      </c>
      <c r="N73" s="31"/>
      <c r="O73" s="31"/>
      <c r="P73" s="31"/>
      <c r="Q73" s="31"/>
      <c r="R73" s="31"/>
      <c r="T73" s="6">
        <f>DAYS360("31-12-2009",U73)</f>
        <v>309</v>
      </c>
      <c r="U73" s="5">
        <v>40491</v>
      </c>
      <c r="V73" s="6" t="s">
        <v>351</v>
      </c>
      <c r="W73" s="34">
        <v>120</v>
      </c>
      <c r="X73" s="33">
        <f>COUNT(W73)</f>
        <v>1</v>
      </c>
      <c r="Y73" s="33">
        <f>SUM(W73)</f>
        <v>120</v>
      </c>
      <c r="Z73" s="6">
        <f>($F$86-Y73)/X73</f>
        <v>518280</v>
      </c>
      <c r="AA73" s="6">
        <f>INT(Z73/60/24)</f>
        <v>359</v>
      </c>
      <c r="AB73" s="6">
        <f>Y73/X73</f>
        <v>120</v>
      </c>
      <c r="AC73" s="6">
        <f>Y73-W74</f>
        <v>0</v>
      </c>
      <c r="AD73" s="33">
        <f>SQRT((AC73*AC73)/COUNT(W73))</f>
        <v>0</v>
      </c>
      <c r="AE73" s="6">
        <f>1/AA73</f>
        <v>2.7855153203342618E-3</v>
      </c>
      <c r="AF73" s="6">
        <f>AE73*EXP(-AE73*(365*1))</f>
        <v>1.007749673042332E-3</v>
      </c>
      <c r="AG73" s="6">
        <f>1-EXP(-AE73*(365*1))</f>
        <v>0.63821786737780273</v>
      </c>
      <c r="AH73" s="6">
        <f>EXP(-AE73*(365*1))</f>
        <v>0.36178213262219722</v>
      </c>
      <c r="AI73" s="6">
        <f>$F$86/(Y73+$F$86)*100</f>
        <v>99.976857208979411</v>
      </c>
      <c r="AJ73">
        <f t="shared" si="62"/>
        <v>336</v>
      </c>
      <c r="AK73" s="6">
        <f t="shared" si="39"/>
        <v>0.15303402876857986</v>
      </c>
      <c r="AL73" s="6">
        <f t="shared" si="40"/>
        <v>2.293064854377105E-2</v>
      </c>
      <c r="AM73" s="6">
        <f t="shared" si="41"/>
        <v>5.9395939605204784E-2</v>
      </c>
      <c r="AN73" s="6">
        <f t="shared" si="42"/>
        <v>6.7728736490853898E-5</v>
      </c>
      <c r="AO73" s="6">
        <f t="shared" si="43"/>
        <v>3.363022168924396E-3</v>
      </c>
      <c r="AP73" s="6">
        <f t="shared" si="44"/>
        <v>0.15303402876857986</v>
      </c>
      <c r="AQ73" s="6">
        <f t="shared" si="45"/>
        <v>0.39221969583238303</v>
      </c>
      <c r="AR73" s="6">
        <f t="shared" si="46"/>
        <v>0.39221969583238303</v>
      </c>
      <c r="AS73" s="6">
        <f t="shared" si="47"/>
        <v>5.9395939605204784E-2</v>
      </c>
      <c r="AT73" s="6">
        <f t="shared" si="48"/>
        <v>8.8053625166803953E-3</v>
      </c>
      <c r="AU73" s="6">
        <f t="shared" si="49"/>
        <v>2.293064854377105E-2</v>
      </c>
      <c r="AV73" s="6">
        <f t="shared" si="50"/>
        <v>1.3764668807952861E-3</v>
      </c>
      <c r="AW73" s="6">
        <f t="shared" si="51"/>
        <v>0.39221969583238303</v>
      </c>
      <c r="AX73" s="6">
        <f t="shared" si="52"/>
        <v>2.293064854377105E-2</v>
      </c>
      <c r="AY73" s="6">
        <f t="shared" si="53"/>
        <v>0.39221969583238303</v>
      </c>
      <c r="AZ73" s="6">
        <f t="shared" si="54"/>
        <v>5.9395939605204784E-2</v>
      </c>
      <c r="BA73" s="6">
        <f t="shared" si="55"/>
        <v>1.2065382139580404E-3</v>
      </c>
      <c r="BB73" s="6">
        <f t="shared" si="56"/>
        <v>0.57067529490530278</v>
      </c>
      <c r="BC73" s="6">
        <f t="shared" si="57"/>
        <v>0.39221969583238303</v>
      </c>
      <c r="BD73" s="6">
        <f t="shared" si="58"/>
        <v>0.68814988438421099</v>
      </c>
      <c r="BE73" s="6">
        <f t="shared" si="59"/>
        <v>0.39221969583238303</v>
      </c>
      <c r="BF73" s="6">
        <f t="shared" si="60"/>
        <v>0.39119564001734458</v>
      </c>
      <c r="BG73" s="6">
        <f t="shared" si="61"/>
        <v>0.82963417528882588</v>
      </c>
    </row>
    <row r="74" spans="2:59" x14ac:dyDescent="0.25">
      <c r="B74" s="6">
        <f t="shared" si="38"/>
        <v>1582</v>
      </c>
      <c r="C74" s="10">
        <v>1</v>
      </c>
      <c r="D74" s="5">
        <v>41781</v>
      </c>
      <c r="E74" s="6" t="s">
        <v>342</v>
      </c>
      <c r="F74" s="6">
        <v>30</v>
      </c>
      <c r="G74" s="31"/>
      <c r="H74" s="31"/>
      <c r="I74" s="31"/>
      <c r="J74" s="31"/>
      <c r="K74" s="31"/>
      <c r="L74" s="6">
        <f t="shared" si="36"/>
        <v>-291.03896103896102</v>
      </c>
      <c r="M74" s="33">
        <f t="shared" si="37"/>
        <v>66.768916831679078</v>
      </c>
      <c r="N74" s="31"/>
      <c r="O74" s="31"/>
      <c r="P74" s="31"/>
      <c r="Q74" s="31"/>
      <c r="R74" s="31"/>
      <c r="T74" s="31"/>
      <c r="U74" s="31"/>
      <c r="V74" s="43" t="s">
        <v>235</v>
      </c>
      <c r="W74" s="6">
        <f>AVERAGE(W73:W73)</f>
        <v>120</v>
      </c>
      <c r="X74" s="31"/>
      <c r="Y74" s="31"/>
      <c r="Z74" s="31"/>
      <c r="AA74" s="31"/>
      <c r="AB74" s="31"/>
      <c r="AC74" s="31"/>
      <c r="AD74" s="31"/>
      <c r="AE74" s="31"/>
      <c r="AF74" s="31"/>
      <c r="AG74" s="31"/>
      <c r="AH74" s="31"/>
      <c r="AI74" s="31"/>
      <c r="AJ74">
        <f t="shared" si="62"/>
        <v>341</v>
      </c>
      <c r="AK74" s="6">
        <f t="shared" si="39"/>
        <v>0.14881848562314282</v>
      </c>
      <c r="AL74" s="6">
        <f t="shared" si="40"/>
        <v>2.167792810354242E-2</v>
      </c>
      <c r="AM74" s="6">
        <f t="shared" si="41"/>
        <v>5.6952014391383234E-2</v>
      </c>
      <c r="AN74" s="6">
        <f t="shared" si="42"/>
        <v>5.8712544841924943E-5</v>
      </c>
      <c r="AO74" s="6">
        <f t="shared" si="43"/>
        <v>3.0897626078904934E-3</v>
      </c>
      <c r="AP74" s="6">
        <f t="shared" si="44"/>
        <v>0.14881848562314282</v>
      </c>
      <c r="AQ74" s="6">
        <f t="shared" si="45"/>
        <v>0.38679489085791779</v>
      </c>
      <c r="AR74" s="6">
        <f t="shared" si="46"/>
        <v>0.38679489085791779</v>
      </c>
      <c r="AS74" s="6">
        <f t="shared" si="47"/>
        <v>5.6952014391383234E-2</v>
      </c>
      <c r="AT74" s="6">
        <f t="shared" si="48"/>
        <v>8.2065972835775412E-3</v>
      </c>
      <c r="AU74" s="6">
        <f t="shared" si="49"/>
        <v>2.167792810354242E-2</v>
      </c>
      <c r="AV74" s="6">
        <f t="shared" si="50"/>
        <v>1.2479232494003968E-3</v>
      </c>
      <c r="AW74" s="6">
        <f t="shared" si="51"/>
        <v>0.38679489085791779</v>
      </c>
      <c r="AX74" s="6">
        <f t="shared" si="52"/>
        <v>2.167792810354242E-2</v>
      </c>
      <c r="AY74" s="6">
        <f t="shared" si="53"/>
        <v>0.38679489085791779</v>
      </c>
      <c r="AZ74" s="6">
        <f t="shared" si="54"/>
        <v>5.6952014391383234E-2</v>
      </c>
      <c r="BA74" s="6">
        <f t="shared" si="55"/>
        <v>1.0917209222795108E-3</v>
      </c>
      <c r="BB74" s="6">
        <f t="shared" si="56"/>
        <v>0.56593155429727937</v>
      </c>
      <c r="BC74" s="6">
        <f t="shared" si="57"/>
        <v>0.38679489085791779</v>
      </c>
      <c r="BD74" s="6">
        <f t="shared" si="58"/>
        <v>0.68433320043836343</v>
      </c>
      <c r="BE74" s="6">
        <f t="shared" si="59"/>
        <v>0.38679489085791779</v>
      </c>
      <c r="BF74" s="6">
        <f t="shared" si="60"/>
        <v>0.38576999056839922</v>
      </c>
      <c r="BG74" s="6">
        <f t="shared" si="61"/>
        <v>0.82733155624364418</v>
      </c>
    </row>
    <row r="75" spans="2:59" x14ac:dyDescent="0.25">
      <c r="B75" s="6">
        <f t="shared" si="38"/>
        <v>1592</v>
      </c>
      <c r="C75" s="10">
        <v>1</v>
      </c>
      <c r="D75" s="5">
        <v>41792</v>
      </c>
      <c r="E75" s="6" t="s">
        <v>342</v>
      </c>
      <c r="F75" s="6">
        <v>30</v>
      </c>
      <c r="G75" s="31"/>
      <c r="H75" s="31"/>
      <c r="I75" s="31"/>
      <c r="J75" s="31"/>
      <c r="K75" s="31"/>
      <c r="L75" s="6">
        <f t="shared" si="36"/>
        <v>-291.03896103896102</v>
      </c>
      <c r="M75" s="33">
        <f t="shared" si="37"/>
        <v>66.768916831679078</v>
      </c>
      <c r="N75" s="31"/>
      <c r="O75" s="31"/>
      <c r="P75" s="31"/>
      <c r="Q75" s="31"/>
      <c r="R75" s="31"/>
      <c r="T75" s="6">
        <f t="shared" ref="T75:T77" si="63">DAYS360("31-12-2009",U75)</f>
        <v>571</v>
      </c>
      <c r="U75" s="5">
        <v>40756</v>
      </c>
      <c r="V75" s="6" t="s">
        <v>351</v>
      </c>
      <c r="W75" s="33">
        <v>60</v>
      </c>
      <c r="X75" s="31"/>
      <c r="Y75" s="31"/>
      <c r="Z75" s="31"/>
      <c r="AA75" s="31"/>
      <c r="AB75" s="31"/>
      <c r="AC75" s="31"/>
      <c r="AD75" s="31"/>
      <c r="AE75" s="31"/>
      <c r="AF75" s="31"/>
      <c r="AG75" s="31"/>
      <c r="AH75" s="31"/>
      <c r="AI75" s="31"/>
      <c r="AJ75">
        <f t="shared" si="62"/>
        <v>346</v>
      </c>
      <c r="AK75" s="6">
        <f t="shared" si="39"/>
        <v>0.14471906569653517</v>
      </c>
      <c r="AL75" s="6">
        <f t="shared" si="40"/>
        <v>2.0493644824974133E-2</v>
      </c>
      <c r="AM75" s="6">
        <f t="shared" si="41"/>
        <v>5.4608647742515011E-2</v>
      </c>
      <c r="AN75" s="6">
        <f t="shared" si="42"/>
        <v>5.0896607561556189E-5</v>
      </c>
      <c r="AO75" s="6">
        <f t="shared" si="43"/>
        <v>2.83870652454592E-3</v>
      </c>
      <c r="AP75" s="6">
        <f t="shared" si="44"/>
        <v>0.14471906569653517</v>
      </c>
      <c r="AQ75" s="6">
        <f t="shared" si="45"/>
        <v>0.38144511655968755</v>
      </c>
      <c r="AR75" s="6">
        <f t="shared" si="46"/>
        <v>0.38144511655968755</v>
      </c>
      <c r="AS75" s="6">
        <f t="shared" si="47"/>
        <v>5.4608647742515011E-2</v>
      </c>
      <c r="AT75" s="6">
        <f t="shared" si="48"/>
        <v>7.6485481258995918E-3</v>
      </c>
      <c r="AU75" s="6">
        <f t="shared" si="49"/>
        <v>2.0493644824974133E-2</v>
      </c>
      <c r="AV75" s="6">
        <f t="shared" si="50"/>
        <v>1.1313838771727458E-3</v>
      </c>
      <c r="AW75" s="6">
        <f t="shared" si="51"/>
        <v>0.38144511655968755</v>
      </c>
      <c r="AX75" s="6">
        <f t="shared" si="52"/>
        <v>2.0493644824974133E-2</v>
      </c>
      <c r="AY75" s="6">
        <f t="shared" si="53"/>
        <v>0.38144511655968755</v>
      </c>
      <c r="AZ75" s="6">
        <f t="shared" si="54"/>
        <v>5.4608647742515011E-2</v>
      </c>
      <c r="BA75" s="6">
        <f t="shared" si="55"/>
        <v>9.8782994053122947E-4</v>
      </c>
      <c r="BB75" s="6">
        <f t="shared" si="56"/>
        <v>0.56122724605150665</v>
      </c>
      <c r="BC75" s="6">
        <f t="shared" si="57"/>
        <v>0.38144511655968755</v>
      </c>
      <c r="BD75" s="6">
        <f t="shared" si="58"/>
        <v>0.68053768495693479</v>
      </c>
      <c r="BE75" s="6">
        <f t="shared" si="59"/>
        <v>0.38144511655968755</v>
      </c>
      <c r="BF75" s="6">
        <f t="shared" si="60"/>
        <v>0.38041959163078759</v>
      </c>
      <c r="BG75" s="6">
        <f t="shared" si="61"/>
        <v>0.82503532803267021</v>
      </c>
    </row>
    <row r="76" spans="2:59" x14ac:dyDescent="0.25">
      <c r="B76" s="6">
        <f t="shared" si="38"/>
        <v>1730</v>
      </c>
      <c r="C76" s="10">
        <v>1</v>
      </c>
      <c r="D76" s="5">
        <v>41932</v>
      </c>
      <c r="E76" s="6" t="s">
        <v>342</v>
      </c>
      <c r="F76" s="6">
        <v>600</v>
      </c>
      <c r="G76" s="31"/>
      <c r="H76" s="31"/>
      <c r="I76" s="31"/>
      <c r="J76" s="31"/>
      <c r="K76" s="31"/>
      <c r="L76" s="6">
        <f t="shared" si="36"/>
        <v>278.96103896103898</v>
      </c>
      <c r="M76" s="33">
        <f t="shared" si="37"/>
        <v>63.998051474541128</v>
      </c>
      <c r="N76" s="31"/>
      <c r="O76" s="31"/>
      <c r="P76" s="31"/>
      <c r="Q76" s="31"/>
      <c r="R76" s="31"/>
      <c r="T76" s="6">
        <f t="shared" si="63"/>
        <v>593</v>
      </c>
      <c r="U76" s="5">
        <v>40778</v>
      </c>
      <c r="V76" s="6" t="s">
        <v>351</v>
      </c>
      <c r="W76" s="33">
        <v>60</v>
      </c>
      <c r="X76" s="31"/>
      <c r="Y76" s="31"/>
      <c r="Z76" s="31"/>
      <c r="AA76" s="31"/>
      <c r="AB76" s="31"/>
      <c r="AC76" s="31"/>
      <c r="AD76" s="31"/>
      <c r="AE76" s="31"/>
      <c r="AF76" s="31"/>
      <c r="AG76" s="31"/>
      <c r="AH76" s="31"/>
      <c r="AI76" s="31"/>
      <c r="AJ76">
        <f t="shared" si="62"/>
        <v>351</v>
      </c>
      <c r="AK76" s="6">
        <f t="shared" si="39"/>
        <v>0.14073257020713237</v>
      </c>
      <c r="AL76" s="6">
        <f t="shared" si="40"/>
        <v>1.9374059928889506E-2</v>
      </c>
      <c r="AM76" s="6">
        <f t="shared" si="41"/>
        <v>5.2361702042224491E-2</v>
      </c>
      <c r="AN76" s="6">
        <f t="shared" si="42"/>
        <v>4.4121144267371066E-5</v>
      </c>
      <c r="AO76" s="6">
        <f t="shared" si="43"/>
        <v>2.6080497938323101E-3</v>
      </c>
      <c r="AP76" s="6">
        <f t="shared" si="44"/>
        <v>0.14073257020713237</v>
      </c>
      <c r="AQ76" s="6">
        <f t="shared" si="45"/>
        <v>0.37616933518566198</v>
      </c>
      <c r="AR76" s="6">
        <f t="shared" si="46"/>
        <v>0.37616933518566198</v>
      </c>
      <c r="AS76" s="6">
        <f t="shared" si="47"/>
        <v>5.2361702042224491E-2</v>
      </c>
      <c r="AT76" s="6">
        <f t="shared" si="48"/>
        <v>7.1284463478266096E-3</v>
      </c>
      <c r="AU76" s="6">
        <f t="shared" si="49"/>
        <v>1.9374059928889506E-2</v>
      </c>
      <c r="AV76" s="6">
        <f t="shared" si="50"/>
        <v>1.0257277265580749E-3</v>
      </c>
      <c r="AW76" s="6">
        <f t="shared" si="51"/>
        <v>0.37616933518566198</v>
      </c>
      <c r="AX76" s="6">
        <f t="shared" si="52"/>
        <v>1.9374059928889506E-2</v>
      </c>
      <c r="AY76" s="6">
        <f t="shared" si="53"/>
        <v>0.37616933518566198</v>
      </c>
      <c r="AZ76" s="6">
        <f t="shared" si="54"/>
        <v>5.2361702042224491E-2</v>
      </c>
      <c r="BA76" s="6">
        <f t="shared" si="55"/>
        <v>8.9382549284889267E-4</v>
      </c>
      <c r="BB76" s="6">
        <f t="shared" si="56"/>
        <v>0.55656204238632001</v>
      </c>
      <c r="BC76" s="6">
        <f t="shared" si="57"/>
        <v>0.37616933518566198</v>
      </c>
      <c r="BD76" s="6">
        <f t="shared" si="58"/>
        <v>0.67676322053332494</v>
      </c>
      <c r="BE76" s="6">
        <f t="shared" si="59"/>
        <v>0.37616933518566198</v>
      </c>
      <c r="BF76" s="6">
        <f t="shared" si="60"/>
        <v>0.3751433995249448</v>
      </c>
      <c r="BG76" s="6">
        <f t="shared" si="61"/>
        <v>0.82274547291837918</v>
      </c>
    </row>
    <row r="77" spans="2:59" x14ac:dyDescent="0.25">
      <c r="B77" s="6">
        <f t="shared" si="38"/>
        <v>1828</v>
      </c>
      <c r="C77" s="10">
        <v>1</v>
      </c>
      <c r="D77" s="5">
        <v>42032</v>
      </c>
      <c r="E77" s="6" t="s">
        <v>342</v>
      </c>
      <c r="F77" s="30">
        <v>20</v>
      </c>
      <c r="G77" s="31"/>
      <c r="H77" s="31"/>
      <c r="I77" s="31"/>
      <c r="J77" s="31"/>
      <c r="K77" s="31"/>
      <c r="L77" s="6">
        <f t="shared" si="36"/>
        <v>-301.03896103896102</v>
      </c>
      <c r="M77" s="33">
        <f t="shared" si="37"/>
        <v>69.063074170384695</v>
      </c>
      <c r="N77" s="31"/>
      <c r="O77" s="31"/>
      <c r="P77" s="31"/>
      <c r="Q77" s="31"/>
      <c r="R77" s="31"/>
      <c r="T77" s="6">
        <f t="shared" si="63"/>
        <v>656</v>
      </c>
      <c r="U77" s="5">
        <v>40842</v>
      </c>
      <c r="V77" s="6" t="s">
        <v>351</v>
      </c>
      <c r="W77" s="33">
        <v>120</v>
      </c>
      <c r="X77" s="33">
        <f>COUNT(W75:W77)</f>
        <v>3</v>
      </c>
      <c r="Y77" s="33">
        <f>SUM(W75:W77)</f>
        <v>240</v>
      </c>
      <c r="Z77" s="6">
        <f>($F$86-Y77)/X77</f>
        <v>172720</v>
      </c>
      <c r="AA77" s="6">
        <f>INT(Z77/60/24)</f>
        <v>119</v>
      </c>
      <c r="AB77" s="6">
        <f>Y77/X77</f>
        <v>80</v>
      </c>
      <c r="AC77" s="6">
        <f>Y77-W78</f>
        <v>160</v>
      </c>
      <c r="AD77" s="33">
        <f>SQRT((AC77*AC77)/COUNT(W75:W77))</f>
        <v>92.376043070340131</v>
      </c>
      <c r="AE77" s="6">
        <f>1/AA77</f>
        <v>8.4033613445378148E-3</v>
      </c>
      <c r="AF77" s="6">
        <f>AE77*EXP(-AE77*(365*1))</f>
        <v>3.9117701217351283E-4</v>
      </c>
      <c r="AG77" s="6">
        <f>1-EXP(-AE77*(365*1))</f>
        <v>0.95344993555135193</v>
      </c>
      <c r="AH77" s="6">
        <f>EXP(-AE77*(365*1))</f>
        <v>4.6550064448648031E-2</v>
      </c>
      <c r="AI77" s="6">
        <f>$F$86/(Y77+$F$86)*100</f>
        <v>99.953725127255893</v>
      </c>
      <c r="AJ77">
        <f t="shared" si="62"/>
        <v>356</v>
      </c>
      <c r="AK77" s="6">
        <f t="shared" si="39"/>
        <v>0.13685588848836538</v>
      </c>
      <c r="AL77" s="6">
        <f t="shared" si="40"/>
        <v>1.8315638888734179E-2</v>
      </c>
      <c r="AM77" s="6">
        <f t="shared" si="41"/>
        <v>5.0207209921884495E-2</v>
      </c>
      <c r="AN77" s="6">
        <f t="shared" si="42"/>
        <v>3.8247644877073414E-5</v>
      </c>
      <c r="AO77" s="6">
        <f t="shared" si="43"/>
        <v>2.396134883367978E-3</v>
      </c>
      <c r="AP77" s="6">
        <f t="shared" si="44"/>
        <v>0.13685588848836538</v>
      </c>
      <c r="AQ77" s="6">
        <f t="shared" si="45"/>
        <v>0.37096652333699709</v>
      </c>
      <c r="AR77" s="6">
        <f t="shared" si="46"/>
        <v>0.37096652333699709</v>
      </c>
      <c r="AS77" s="6">
        <f t="shared" si="47"/>
        <v>5.0207209921884495E-2</v>
      </c>
      <c r="AT77" s="6">
        <f t="shared" si="48"/>
        <v>6.6437115250374268E-3</v>
      </c>
      <c r="AU77" s="6">
        <f t="shared" si="49"/>
        <v>1.8315638888734179E-2</v>
      </c>
      <c r="AV77" s="6">
        <f t="shared" si="50"/>
        <v>9.2993844994430051E-4</v>
      </c>
      <c r="AW77" s="6">
        <f t="shared" si="51"/>
        <v>0.37096652333699709</v>
      </c>
      <c r="AX77" s="6">
        <f t="shared" si="52"/>
        <v>1.8315638888734179E-2</v>
      </c>
      <c r="AY77" s="6">
        <f t="shared" si="53"/>
        <v>0.37096652333699709</v>
      </c>
      <c r="AZ77" s="6">
        <f t="shared" si="54"/>
        <v>5.0207209921884495E-2</v>
      </c>
      <c r="BA77" s="6">
        <f t="shared" si="55"/>
        <v>8.0876675112411141E-4</v>
      </c>
      <c r="BB77" s="6">
        <f t="shared" si="56"/>
        <v>0.55193561824474124</v>
      </c>
      <c r="BC77" s="6">
        <f t="shared" si="57"/>
        <v>0.37096652333699709</v>
      </c>
      <c r="BD77" s="6">
        <f t="shared" si="58"/>
        <v>0.67300969041210579</v>
      </c>
      <c r="BE77" s="6">
        <f t="shared" si="59"/>
        <v>0.37096652333699709</v>
      </c>
      <c r="BF77" s="6">
        <f t="shared" si="60"/>
        <v>0.36994038504651716</v>
      </c>
      <c r="BG77" s="6">
        <f t="shared" si="61"/>
        <v>0.82046197321247649</v>
      </c>
    </row>
    <row r="78" spans="2:59" x14ac:dyDescent="0.25">
      <c r="B78" s="6">
        <f t="shared" si="38"/>
        <v>1865</v>
      </c>
      <c r="C78" s="10">
        <v>1</v>
      </c>
      <c r="D78" s="5">
        <v>42068</v>
      </c>
      <c r="E78" s="6" t="s">
        <v>342</v>
      </c>
      <c r="F78" s="30">
        <v>50</v>
      </c>
      <c r="G78" s="31"/>
      <c r="H78" s="31"/>
      <c r="I78" s="31"/>
      <c r="J78" s="31"/>
      <c r="K78" s="31"/>
      <c r="L78" s="6">
        <f t="shared" si="36"/>
        <v>-271.03896103896102</v>
      </c>
      <c r="M78" s="33">
        <f t="shared" si="37"/>
        <v>62.180602154267838</v>
      </c>
      <c r="N78" s="31"/>
      <c r="O78" s="31"/>
      <c r="P78" s="31"/>
      <c r="Q78" s="31"/>
      <c r="R78" s="31"/>
      <c r="T78" s="31"/>
      <c r="U78" s="31"/>
      <c r="V78" s="43" t="s">
        <v>235</v>
      </c>
      <c r="W78" s="6">
        <f>AVERAGE(W75:W77)</f>
        <v>80</v>
      </c>
      <c r="X78" s="31"/>
      <c r="Y78" s="31"/>
      <c r="Z78" s="31"/>
      <c r="AA78" s="31"/>
      <c r="AB78" s="31"/>
      <c r="AC78" s="31"/>
      <c r="AD78" s="31"/>
      <c r="AE78" s="31"/>
      <c r="AF78" s="31"/>
      <c r="AG78" s="31"/>
      <c r="AH78" s="31"/>
      <c r="AI78" s="31"/>
      <c r="AJ78">
        <f t="shared" si="62"/>
        <v>361</v>
      </c>
      <c r="AK78" s="6">
        <f t="shared" si="39"/>
        <v>0.13308599556146444</v>
      </c>
      <c r="AL78" s="6">
        <f t="shared" si="40"/>
        <v>1.7315040272085101E-2</v>
      </c>
      <c r="AM78" s="6">
        <f t="shared" si="41"/>
        <v>4.814136725554554E-2</v>
      </c>
      <c r="AN78" s="6">
        <f t="shared" si="42"/>
        <v>3.3156038061428215E-5</v>
      </c>
      <c r="AO78" s="6">
        <f t="shared" si="43"/>
        <v>2.2014389421822645E-3</v>
      </c>
      <c r="AP78" s="6">
        <f t="shared" si="44"/>
        <v>0.13308599556146444</v>
      </c>
      <c r="AQ78" s="6">
        <f t="shared" si="45"/>
        <v>0.36583567176951587</v>
      </c>
      <c r="AR78" s="6">
        <f t="shared" si="46"/>
        <v>0.36583567176951587</v>
      </c>
      <c r="AS78" s="6">
        <f t="shared" si="47"/>
        <v>4.814136725554554E-2</v>
      </c>
      <c r="AT78" s="6">
        <f t="shared" si="48"/>
        <v>6.1919387022352597E-3</v>
      </c>
      <c r="AU78" s="6">
        <f t="shared" si="49"/>
        <v>1.7315040272085101E-2</v>
      </c>
      <c r="AV78" s="6">
        <f t="shared" si="50"/>
        <v>8.4309461301848348E-4</v>
      </c>
      <c r="AW78" s="6">
        <f t="shared" si="51"/>
        <v>0.36583567176951587</v>
      </c>
      <c r="AX78" s="6">
        <f t="shared" si="52"/>
        <v>1.7315040272085101E-2</v>
      </c>
      <c r="AY78" s="6">
        <f t="shared" si="53"/>
        <v>0.36583567176951587</v>
      </c>
      <c r="AZ78" s="6">
        <f t="shared" si="54"/>
        <v>4.814136725554554E-2</v>
      </c>
      <c r="BA78" s="6">
        <f t="shared" si="55"/>
        <v>7.3180241888047277E-4</v>
      </c>
      <c r="BB78" s="6">
        <f t="shared" si="56"/>
        <v>0.54734765127182972</v>
      </c>
      <c r="BC78" s="6">
        <f t="shared" si="57"/>
        <v>0.36583567176951587</v>
      </c>
      <c r="BD78" s="6">
        <f t="shared" si="58"/>
        <v>0.66927697848540935</v>
      </c>
      <c r="BE78" s="6">
        <f t="shared" si="59"/>
        <v>0.36583567176951587</v>
      </c>
      <c r="BF78" s="6">
        <f t="shared" si="60"/>
        <v>0.36480953326559934</v>
      </c>
      <c r="BG78" s="6">
        <f t="shared" si="61"/>
        <v>0.8181848112757607</v>
      </c>
    </row>
    <row r="79" spans="2:59" x14ac:dyDescent="0.25">
      <c r="B79" s="6">
        <f t="shared" si="38"/>
        <v>1890</v>
      </c>
      <c r="C79" s="10">
        <v>1</v>
      </c>
      <c r="D79" s="5">
        <v>42093</v>
      </c>
      <c r="E79" s="6" t="s">
        <v>342</v>
      </c>
      <c r="F79" s="30">
        <v>20</v>
      </c>
      <c r="G79" s="31"/>
      <c r="H79" s="31"/>
      <c r="I79" s="31"/>
      <c r="J79" s="31"/>
      <c r="K79" s="31"/>
      <c r="L79" s="6">
        <f t="shared" si="36"/>
        <v>-301.03896103896102</v>
      </c>
      <c r="M79" s="33">
        <f t="shared" si="37"/>
        <v>69.063074170384695</v>
      </c>
      <c r="N79" s="31"/>
      <c r="O79" s="31"/>
      <c r="P79" s="31"/>
      <c r="Q79" s="31"/>
      <c r="R79" s="31"/>
      <c r="T79" s="6">
        <f t="shared" ref="T79:T85" si="64">DAYS360("31-12-2009",U79)</f>
        <v>730</v>
      </c>
      <c r="U79" s="5">
        <v>40918</v>
      </c>
      <c r="V79" s="30" t="s">
        <v>351</v>
      </c>
      <c r="W79" s="33">
        <v>60</v>
      </c>
      <c r="X79" s="31"/>
      <c r="Y79" s="31"/>
      <c r="Z79" s="31"/>
      <c r="AA79" s="31"/>
      <c r="AB79" s="31"/>
      <c r="AC79" s="31"/>
      <c r="AD79" s="31"/>
      <c r="AE79" s="31"/>
      <c r="AF79" s="31"/>
      <c r="AG79" s="31"/>
      <c r="AH79" s="31"/>
      <c r="AI79" s="31"/>
      <c r="AJ79">
        <f t="shared" si="62"/>
        <v>366</v>
      </c>
      <c r="AK79" s="6">
        <f t="shared" si="39"/>
        <v>0.12941994977506494</v>
      </c>
      <c r="AL79" s="6">
        <f t="shared" si="40"/>
        <v>1.6369105191757192E-2</v>
      </c>
      <c r="AM79" s="6">
        <f t="shared" si="41"/>
        <v>4.6160526443097816E-2</v>
      </c>
      <c r="AN79" s="6">
        <f t="shared" si="42"/>
        <v>2.8742236638727934E-5</v>
      </c>
      <c r="AO79" s="6">
        <f t="shared" si="43"/>
        <v>2.0225628572898267E-3</v>
      </c>
      <c r="AP79" s="6">
        <f t="shared" si="44"/>
        <v>0.12941994977506494</v>
      </c>
      <c r="AQ79" s="6">
        <f t="shared" si="45"/>
        <v>0.36077578519793424</v>
      </c>
      <c r="AR79" s="6">
        <f t="shared" si="46"/>
        <v>0.36077578519793424</v>
      </c>
      <c r="AS79" s="6">
        <f t="shared" si="47"/>
        <v>4.6160526443097816E-2</v>
      </c>
      <c r="AT79" s="6">
        <f t="shared" si="48"/>
        <v>5.7708864612424377E-3</v>
      </c>
      <c r="AU79" s="6">
        <f t="shared" si="49"/>
        <v>1.6369105191757192E-2</v>
      </c>
      <c r="AV79" s="6">
        <f t="shared" si="50"/>
        <v>7.6436083113173815E-4</v>
      </c>
      <c r="AW79" s="6">
        <f t="shared" si="51"/>
        <v>0.36077578519793424</v>
      </c>
      <c r="AX79" s="6">
        <f t="shared" si="52"/>
        <v>1.6369105191757192E-2</v>
      </c>
      <c r="AY79" s="6">
        <f t="shared" si="53"/>
        <v>0.36077578519793424</v>
      </c>
      <c r="AZ79" s="6">
        <f t="shared" si="54"/>
        <v>4.6160526443097816E-2</v>
      </c>
      <c r="BA79" s="6">
        <f t="shared" si="55"/>
        <v>6.6216221121227639E-4</v>
      </c>
      <c r="BB79" s="6">
        <f t="shared" si="56"/>
        <v>0.54279782179222125</v>
      </c>
      <c r="BC79" s="6">
        <f>EXP(-$AE$91*(AJ79))</f>
        <v>0.36077578519793424</v>
      </c>
      <c r="BD79" s="6">
        <f t="shared" si="58"/>
        <v>0.66556496928933651</v>
      </c>
      <c r="BE79" s="6">
        <f t="shared" si="59"/>
        <v>0.36077578519793424</v>
      </c>
      <c r="BF79" s="6">
        <f t="shared" si="60"/>
        <v>0.35974984332875659</v>
      </c>
      <c r="BG79" s="6">
        <f t="shared" si="61"/>
        <v>0.81591396951798711</v>
      </c>
    </row>
    <row r="80" spans="2:59" x14ac:dyDescent="0.25">
      <c r="B80" s="6">
        <f t="shared" si="38"/>
        <v>1999</v>
      </c>
      <c r="C80" s="10">
        <v>1</v>
      </c>
      <c r="D80" s="5">
        <v>42204</v>
      </c>
      <c r="E80" s="6" t="s">
        <v>342</v>
      </c>
      <c r="F80" s="30">
        <v>120</v>
      </c>
      <c r="G80" s="31"/>
      <c r="H80" s="31"/>
      <c r="I80" s="31"/>
      <c r="J80" s="31"/>
      <c r="K80" s="31"/>
      <c r="L80" s="6">
        <f t="shared" si="36"/>
        <v>-201.03896103896102</v>
      </c>
      <c r="M80" s="33">
        <f t="shared" si="37"/>
        <v>46.121500783328514</v>
      </c>
      <c r="N80" s="31"/>
      <c r="O80" s="31"/>
      <c r="P80" s="31"/>
      <c r="Q80" s="31"/>
      <c r="R80" s="31"/>
      <c r="T80" s="6">
        <f t="shared" si="64"/>
        <v>731</v>
      </c>
      <c r="U80" s="5">
        <v>40919</v>
      </c>
      <c r="V80" s="30" t="s">
        <v>351</v>
      </c>
      <c r="W80" s="33">
        <v>150</v>
      </c>
      <c r="X80" s="31"/>
      <c r="Y80" s="31"/>
      <c r="Z80" s="31"/>
      <c r="AA80" s="31"/>
      <c r="AB80" s="31"/>
      <c r="AC80" s="31"/>
      <c r="AD80" s="31"/>
      <c r="AE80" s="31"/>
      <c r="AF80" s="31"/>
      <c r="AG80" s="31"/>
      <c r="AH80" s="31"/>
      <c r="AI80" s="31"/>
      <c r="AK80" s="11"/>
      <c r="AL80" s="11"/>
      <c r="AM80" s="11"/>
      <c r="AN80" s="11"/>
      <c r="AO80" s="11"/>
      <c r="AP80" s="60"/>
      <c r="AQ80" s="60"/>
      <c r="AR80" s="60"/>
      <c r="AS80" s="60"/>
      <c r="AT80" s="60"/>
      <c r="AU80" s="60"/>
      <c r="AV80" s="60"/>
      <c r="AW80" s="60"/>
      <c r="AX80" s="60"/>
      <c r="AY80" s="60"/>
      <c r="AZ80" s="60"/>
      <c r="BA80" s="60"/>
      <c r="BB80" s="60"/>
      <c r="BC80" s="60"/>
      <c r="BD80" s="60"/>
      <c r="BE80" s="60"/>
      <c r="BF80" s="60"/>
      <c r="BG80" s="60"/>
    </row>
    <row r="81" spans="2:59" x14ac:dyDescent="0.25">
      <c r="B81" s="6">
        <f t="shared" si="38"/>
        <v>2014</v>
      </c>
      <c r="C81" s="10">
        <v>1</v>
      </c>
      <c r="D81" s="5">
        <v>42220</v>
      </c>
      <c r="E81" s="6" t="s">
        <v>342</v>
      </c>
      <c r="F81" s="30">
        <v>30</v>
      </c>
      <c r="G81" s="31"/>
      <c r="H81" s="31"/>
      <c r="I81" s="31"/>
      <c r="J81" s="31"/>
      <c r="K81" s="31"/>
      <c r="L81" s="6">
        <f t="shared" si="36"/>
        <v>-291.03896103896102</v>
      </c>
      <c r="M81" s="33">
        <f t="shared" si="37"/>
        <v>66.768916831679078</v>
      </c>
      <c r="N81" s="31"/>
      <c r="O81" s="31"/>
      <c r="P81" s="31"/>
      <c r="Q81" s="31"/>
      <c r="R81" s="31"/>
      <c r="T81" s="6">
        <f t="shared" si="64"/>
        <v>783</v>
      </c>
      <c r="U81" s="5">
        <v>40971</v>
      </c>
      <c r="V81" s="30" t="s">
        <v>351</v>
      </c>
      <c r="W81" s="33">
        <v>120</v>
      </c>
      <c r="X81" s="31"/>
      <c r="Y81" s="31"/>
      <c r="Z81" s="31"/>
      <c r="AA81" s="31"/>
      <c r="AB81" s="31"/>
      <c r="AC81" s="31"/>
      <c r="AD81" s="31"/>
      <c r="AE81" s="31"/>
      <c r="AF81" s="31"/>
      <c r="AG81" s="31"/>
      <c r="AH81" s="31"/>
      <c r="AI81" s="31"/>
      <c r="AK81" s="11"/>
      <c r="AL81" s="11"/>
      <c r="AM81" s="11"/>
      <c r="AN81" s="11"/>
      <c r="AO81" s="11"/>
      <c r="AP81" s="60"/>
      <c r="AQ81" s="60"/>
      <c r="AR81" s="60"/>
      <c r="AS81" s="60"/>
      <c r="AT81" s="60"/>
      <c r="AU81" s="60"/>
      <c r="AV81" s="60"/>
      <c r="AW81" s="60"/>
      <c r="AX81" s="60"/>
      <c r="AY81" s="60"/>
      <c r="AZ81" s="60"/>
      <c r="BA81" s="60"/>
      <c r="BB81" s="60"/>
      <c r="BC81" s="60"/>
      <c r="BD81" s="60"/>
      <c r="BE81" s="60"/>
      <c r="BF81" s="60"/>
      <c r="BG81" s="60"/>
    </row>
    <row r="82" spans="2:59" x14ac:dyDescent="0.25">
      <c r="B82" s="6">
        <f t="shared" si="38"/>
        <v>2123</v>
      </c>
      <c r="C82" s="10">
        <v>1</v>
      </c>
      <c r="D82" s="5">
        <v>42331</v>
      </c>
      <c r="E82" s="6" t="s">
        <v>342</v>
      </c>
      <c r="F82" s="30">
        <v>120</v>
      </c>
      <c r="G82" s="6">
        <f>COUNT(F6:F82)</f>
        <v>77</v>
      </c>
      <c r="H82" s="6">
        <f>SUM(F6:F82)</f>
        <v>24720</v>
      </c>
      <c r="I82" s="6">
        <f>(2592000-H82)/G82</f>
        <v>33341.2987012987</v>
      </c>
      <c r="J82" s="6">
        <f>INT(I82/60/24)</f>
        <v>23</v>
      </c>
      <c r="K82" s="6">
        <f>H82/G82</f>
        <v>321.03896103896102</v>
      </c>
      <c r="L82" s="6">
        <f t="shared" si="36"/>
        <v>-201.03896103896102</v>
      </c>
      <c r="M82" s="33">
        <f t="shared" si="37"/>
        <v>46.121500783328514</v>
      </c>
      <c r="N82" s="6">
        <f>G82/(365*5)</f>
        <v>4.219178082191781E-2</v>
      </c>
      <c r="O82" s="6">
        <f>N82*EXP(-N82*(365*5))</f>
        <v>1.5295115110907072E-35</v>
      </c>
      <c r="P82" s="6">
        <f>1-EXP(-N82*(365*5))</f>
        <v>1</v>
      </c>
      <c r="Q82" s="6">
        <f>EXP(-N82*(365*5))</f>
        <v>3.6251409191435593E-34</v>
      </c>
      <c r="R82" s="6">
        <f>F85/(F84+F85)*100</f>
        <v>99.055305879115835</v>
      </c>
      <c r="T82" s="6">
        <f t="shared" si="64"/>
        <v>784</v>
      </c>
      <c r="U82" s="5">
        <v>40972</v>
      </c>
      <c r="V82" s="30" t="s">
        <v>351</v>
      </c>
      <c r="W82" s="33">
        <v>90</v>
      </c>
      <c r="X82" s="31"/>
      <c r="Y82" s="31"/>
      <c r="Z82" s="31"/>
      <c r="AA82" s="31"/>
      <c r="AB82" s="31"/>
      <c r="AC82" s="31"/>
      <c r="AD82" s="31"/>
      <c r="AE82" s="31"/>
      <c r="AF82" s="31"/>
      <c r="AG82" s="31"/>
      <c r="AH82" s="31"/>
      <c r="AI82" s="31"/>
      <c r="AK82" s="11"/>
      <c r="AL82" s="11"/>
      <c r="AM82" s="11"/>
      <c r="AN82" s="11"/>
      <c r="AO82" s="11"/>
      <c r="AP82" s="11"/>
      <c r="AQ82" s="11"/>
      <c r="AR82" s="11"/>
      <c r="AS82" s="11"/>
      <c r="AT82" s="11"/>
      <c r="AU82" s="11"/>
      <c r="AV82" s="11"/>
      <c r="AW82" s="11"/>
      <c r="AX82" s="11"/>
      <c r="AY82" s="11"/>
      <c r="AZ82" s="11"/>
      <c r="BA82" s="11"/>
      <c r="BB82" s="11"/>
      <c r="BC82" s="11"/>
      <c r="BD82" s="11"/>
      <c r="BE82" s="11"/>
      <c r="BF82" s="11"/>
      <c r="BG82" s="11"/>
    </row>
    <row r="83" spans="2:59" x14ac:dyDescent="0.25">
      <c r="E83" s="43" t="s">
        <v>235</v>
      </c>
      <c r="F83" s="6">
        <f>AVERAGE(F6:F82)</f>
        <v>321.03896103896102</v>
      </c>
      <c r="T83" s="6">
        <f t="shared" si="64"/>
        <v>833</v>
      </c>
      <c r="U83" s="5">
        <v>41022</v>
      </c>
      <c r="V83" s="30" t="s">
        <v>351</v>
      </c>
      <c r="W83" s="33">
        <v>150</v>
      </c>
      <c r="X83" s="31"/>
      <c r="Y83" s="31"/>
      <c r="Z83" s="31"/>
      <c r="AA83" s="31"/>
      <c r="AB83" s="31"/>
      <c r="AC83" s="31"/>
      <c r="AD83" s="31"/>
      <c r="AE83" s="31"/>
      <c r="AF83" s="31"/>
      <c r="AG83" s="31"/>
      <c r="AH83" s="31"/>
      <c r="AI83" s="31"/>
      <c r="AK83" s="11"/>
      <c r="AL83" s="11"/>
      <c r="AM83" s="11"/>
      <c r="AN83" s="11"/>
      <c r="AO83" s="11"/>
      <c r="AP83" s="11"/>
      <c r="AQ83" s="11"/>
      <c r="AR83" s="11"/>
      <c r="AS83" s="11"/>
      <c r="AT83" s="11"/>
      <c r="AU83" s="11"/>
      <c r="AV83" s="11"/>
      <c r="AW83" s="11"/>
      <c r="AX83" s="11"/>
      <c r="AY83" s="11"/>
      <c r="AZ83" s="11"/>
      <c r="BA83" s="11"/>
      <c r="BB83" s="11"/>
      <c r="BC83" s="11"/>
      <c r="BD83" s="11"/>
      <c r="BE83" s="11"/>
      <c r="BF83" s="11"/>
      <c r="BG83" s="11"/>
    </row>
    <row r="84" spans="2:59" x14ac:dyDescent="0.25">
      <c r="E84" s="43" t="s">
        <v>261</v>
      </c>
      <c r="F84" s="6">
        <f>(SUM(F6:F82))</f>
        <v>24720</v>
      </c>
      <c r="G84" t="s">
        <v>237</v>
      </c>
      <c r="T84" s="6">
        <f t="shared" si="64"/>
        <v>880</v>
      </c>
      <c r="U84" s="5">
        <v>41070</v>
      </c>
      <c r="V84" s="30" t="s">
        <v>351</v>
      </c>
      <c r="W84" s="33">
        <v>90</v>
      </c>
      <c r="X84" s="31"/>
      <c r="Y84" s="31"/>
      <c r="Z84" s="31"/>
      <c r="AA84" s="31"/>
      <c r="AB84" s="31"/>
      <c r="AC84" s="31"/>
      <c r="AD84" s="31"/>
      <c r="AE84" s="31"/>
      <c r="AF84" s="31"/>
      <c r="AG84" s="31"/>
      <c r="AH84" s="31"/>
      <c r="AI84" s="31"/>
      <c r="AK84" s="11"/>
      <c r="AL84" s="11"/>
      <c r="AM84" s="11"/>
      <c r="AN84" s="11"/>
      <c r="AO84" s="11"/>
      <c r="AP84" s="11"/>
      <c r="AQ84" s="11"/>
      <c r="AR84" s="11"/>
      <c r="AS84" s="11"/>
      <c r="AT84" s="11"/>
      <c r="AU84" s="11"/>
      <c r="AV84" s="11"/>
      <c r="AW84" s="11"/>
      <c r="AX84" s="11"/>
      <c r="AY84" s="11"/>
      <c r="AZ84" s="11"/>
      <c r="BA84" s="11"/>
      <c r="BB84" s="11"/>
      <c r="BC84" s="11"/>
      <c r="BD84" s="11"/>
      <c r="BE84" s="11"/>
      <c r="BF84" s="11"/>
      <c r="BG84" s="11"/>
    </row>
    <row r="85" spans="2:59" x14ac:dyDescent="0.25">
      <c r="E85" s="43" t="s">
        <v>262</v>
      </c>
      <c r="F85" s="6">
        <f>60*24*30*12*5</f>
        <v>2592000</v>
      </c>
      <c r="G85" t="s">
        <v>237</v>
      </c>
      <c r="T85" s="6">
        <f t="shared" si="64"/>
        <v>977</v>
      </c>
      <c r="U85" s="5">
        <v>41169</v>
      </c>
      <c r="V85" s="30" t="s">
        <v>351</v>
      </c>
      <c r="W85" s="33">
        <f>3*24*60</f>
        <v>4320</v>
      </c>
      <c r="X85" s="33">
        <f>COUNT(W79:W85)</f>
        <v>7</v>
      </c>
      <c r="Y85" s="33">
        <f>SUM(W79:W85)</f>
        <v>4980</v>
      </c>
      <c r="Z85" s="6">
        <f>($F$86-Y85)/X85</f>
        <v>73345.71428571429</v>
      </c>
      <c r="AA85" s="6">
        <f>INT(Z85/60/24)</f>
        <v>50</v>
      </c>
      <c r="AB85" s="6">
        <f>Y85/X85</f>
        <v>711.42857142857144</v>
      </c>
      <c r="AC85" s="6">
        <f>Y85-W86</f>
        <v>4268.5714285714284</v>
      </c>
      <c r="AD85" s="33">
        <f>SQRT((AC85*AC85)/COUNT(W79:W85))</f>
        <v>1613.3683505022441</v>
      </c>
      <c r="AE85" s="6">
        <f>1/AA85</f>
        <v>0.02</v>
      </c>
      <c r="AF85" s="6">
        <f>AE85*EXP(-AE85*(365*1))</f>
        <v>1.3510775503876888E-5</v>
      </c>
      <c r="AG85" s="6">
        <f>1-EXP(-AE85*(365*1))</f>
        <v>0.99932446122480612</v>
      </c>
      <c r="AH85" s="6">
        <f>EXP(-AE85*(365*1))</f>
        <v>6.7553877519384439E-4</v>
      </c>
      <c r="AI85" s="6">
        <f>$F$86/(Y85+$F$86)*100</f>
        <v>99.048492491115454</v>
      </c>
      <c r="AK85" s="11"/>
      <c r="AL85" s="11"/>
      <c r="AM85" s="11"/>
      <c r="AN85" s="11"/>
      <c r="AO85" s="11"/>
      <c r="AP85" s="11"/>
      <c r="AQ85" s="11"/>
      <c r="AR85" s="11"/>
      <c r="AS85" s="11"/>
      <c r="AT85" s="11"/>
      <c r="AU85" s="11"/>
      <c r="AV85" s="11"/>
      <c r="AW85" s="11"/>
      <c r="AX85" s="11"/>
      <c r="AY85" s="11"/>
      <c r="AZ85" s="11"/>
      <c r="BA85" s="11"/>
      <c r="BB85" s="11"/>
      <c r="BC85" s="11"/>
      <c r="BD85" s="11"/>
      <c r="BE85" s="11"/>
      <c r="BF85" s="11"/>
      <c r="BG85" s="11"/>
    </row>
    <row r="86" spans="2:59" x14ac:dyDescent="0.25">
      <c r="E86" s="43" t="s">
        <v>268</v>
      </c>
      <c r="F86" s="6">
        <v>518400</v>
      </c>
      <c r="G86" t="s">
        <v>237</v>
      </c>
      <c r="T86" s="31"/>
      <c r="U86" s="31"/>
      <c r="V86" s="43" t="s">
        <v>235</v>
      </c>
      <c r="W86" s="6">
        <f>AVERAGE(W79:W85)</f>
        <v>711.42857142857144</v>
      </c>
      <c r="X86" s="31"/>
      <c r="Y86" s="31"/>
      <c r="Z86" s="31"/>
      <c r="AA86" s="31"/>
      <c r="AB86" s="31"/>
      <c r="AC86" s="31"/>
      <c r="AD86" s="31"/>
      <c r="AE86" s="31"/>
      <c r="AF86" s="31"/>
      <c r="AG86" s="31"/>
      <c r="AH86" s="31"/>
      <c r="AI86" s="31"/>
      <c r="AK86" s="11"/>
      <c r="AL86" s="11"/>
      <c r="AM86" s="11"/>
      <c r="AN86" s="11"/>
      <c r="AO86" s="11"/>
      <c r="AP86" s="11"/>
      <c r="AQ86" s="11"/>
      <c r="AR86" s="11"/>
      <c r="AS86" s="11"/>
      <c r="AT86" s="11"/>
      <c r="AU86" s="11"/>
      <c r="AV86" s="11"/>
      <c r="AW86" s="11"/>
      <c r="AX86" s="11"/>
      <c r="AY86" s="11"/>
      <c r="AZ86" s="11"/>
      <c r="BA86" s="11"/>
      <c r="BB86" s="11"/>
      <c r="BC86" s="11"/>
      <c r="BD86" s="11"/>
      <c r="BE86" s="11"/>
      <c r="BF86" s="11"/>
      <c r="BG86" s="11"/>
    </row>
    <row r="87" spans="2:59" x14ac:dyDescent="0.25">
      <c r="T87" s="6">
        <f>DAYS360("31-12-2009",U87)</f>
        <v>1144</v>
      </c>
      <c r="U87" s="5">
        <v>41337</v>
      </c>
      <c r="V87" s="6" t="s">
        <v>351</v>
      </c>
      <c r="W87" s="33">
        <f>24*60+5*60</f>
        <v>1740</v>
      </c>
      <c r="X87" s="31"/>
      <c r="Y87" s="31"/>
      <c r="Z87" s="31"/>
      <c r="AA87" s="31"/>
      <c r="AB87" s="31"/>
      <c r="AC87" s="31"/>
      <c r="AD87" s="31"/>
      <c r="AE87" s="31"/>
      <c r="AF87" s="31"/>
      <c r="AG87" s="31"/>
      <c r="AH87" s="31"/>
      <c r="AI87" s="31"/>
      <c r="AK87" s="11"/>
      <c r="AL87" s="11"/>
      <c r="AM87" s="11"/>
      <c r="AN87" s="11"/>
      <c r="AO87" s="11"/>
      <c r="AP87" s="11"/>
      <c r="AQ87" s="11"/>
      <c r="AR87" s="11"/>
      <c r="AS87" s="11"/>
      <c r="AT87" s="11"/>
      <c r="AU87" s="11"/>
      <c r="AV87" s="11"/>
      <c r="AW87" s="11"/>
      <c r="AX87" s="11"/>
      <c r="AY87" s="11"/>
      <c r="AZ87" s="11"/>
      <c r="BA87" s="11"/>
      <c r="BB87" s="11"/>
      <c r="BC87" s="11"/>
      <c r="BD87" s="11"/>
      <c r="BE87" s="11"/>
      <c r="BF87" s="11"/>
      <c r="BG87" s="11"/>
    </row>
    <row r="88" spans="2:59" x14ac:dyDescent="0.25">
      <c r="B88" s="32" t="s">
        <v>193</v>
      </c>
      <c r="E88" s="61"/>
      <c r="F88" s="11"/>
      <c r="T88" s="6">
        <f>DAYS360("31-12-2009",U88)</f>
        <v>1167</v>
      </c>
      <c r="U88" s="5">
        <v>41360</v>
      </c>
      <c r="V88" s="6" t="s">
        <v>351</v>
      </c>
      <c r="W88" s="33">
        <v>120</v>
      </c>
      <c r="X88" s="31"/>
      <c r="Y88" s="31"/>
      <c r="Z88" s="31"/>
      <c r="AA88" s="31"/>
      <c r="AB88" s="31"/>
      <c r="AC88" s="31"/>
      <c r="AD88" s="31"/>
      <c r="AE88" s="31"/>
      <c r="AF88" s="31"/>
      <c r="AG88" s="31"/>
      <c r="AH88" s="31"/>
      <c r="AI88" s="31"/>
      <c r="AK88" s="11"/>
      <c r="AL88" s="11"/>
      <c r="AM88" s="11"/>
      <c r="AN88" s="11"/>
      <c r="AO88" s="11"/>
      <c r="AP88" s="11"/>
      <c r="AQ88" s="11"/>
      <c r="AR88" s="11"/>
      <c r="AS88" s="11"/>
      <c r="AT88" s="11"/>
      <c r="AU88" s="11"/>
      <c r="AV88" s="11"/>
      <c r="AW88" s="11"/>
      <c r="AX88" s="11"/>
      <c r="AY88" s="11"/>
      <c r="AZ88" s="11"/>
      <c r="BA88" s="11"/>
      <c r="BB88" s="11"/>
      <c r="BC88" s="11"/>
      <c r="BD88" s="11"/>
      <c r="BE88" s="11"/>
      <c r="BF88" s="11"/>
      <c r="BG88" s="11"/>
    </row>
    <row r="89" spans="2:59" x14ac:dyDescent="0.25">
      <c r="B89" s="53" t="s">
        <v>256</v>
      </c>
      <c r="T89" s="6">
        <f>DAYS360("31-12-2009",U89)</f>
        <v>1290</v>
      </c>
      <c r="U89" s="5">
        <v>41485</v>
      </c>
      <c r="V89" s="6" t="s">
        <v>351</v>
      </c>
      <c r="W89" s="33">
        <v>180</v>
      </c>
      <c r="X89" s="6">
        <f>COUNT(W87:W89)</f>
        <v>3</v>
      </c>
      <c r="Y89" s="6">
        <f>SUM(W87:W89)</f>
        <v>2040</v>
      </c>
      <c r="Z89" s="6">
        <f>(2592000-Y89)/X89</f>
        <v>863320</v>
      </c>
      <c r="AA89" s="6">
        <f>INT(Z89/60/24)</f>
        <v>599</v>
      </c>
      <c r="AB89" s="6">
        <f>Y89/X89</f>
        <v>680</v>
      </c>
      <c r="AC89" s="6">
        <f>Y89-W90</f>
        <v>1360</v>
      </c>
      <c r="AD89" s="33">
        <f>SQRT((AC89*AC89)/COUNT(W87:W89))</f>
        <v>785.19636609789109</v>
      </c>
      <c r="AE89" s="6">
        <f>1/AA89</f>
        <v>1.6694490818030051E-3</v>
      </c>
      <c r="AF89" s="6">
        <f>AE89*EXP(-AE89*(365*1))</f>
        <v>9.0768739890422726E-4</v>
      </c>
      <c r="AG89" s="6">
        <f>1-EXP(-AE89*(365*1))</f>
        <v>0.4562952480563679</v>
      </c>
      <c r="AH89" s="6">
        <f>EXP(-AE89*(365*1))</f>
        <v>0.5437047519436321</v>
      </c>
      <c r="AI89" s="6">
        <f>$F$86/(Y89+$F$86)*100</f>
        <v>99.608023979709486</v>
      </c>
    </row>
    <row r="90" spans="2:59" x14ac:dyDescent="0.25">
      <c r="B90" s="77" t="s">
        <v>266</v>
      </c>
      <c r="T90" s="31"/>
      <c r="U90" s="71"/>
      <c r="V90" s="43" t="s">
        <v>235</v>
      </c>
      <c r="W90" s="6">
        <f>AVERAGE(W87:W89)</f>
        <v>680</v>
      </c>
      <c r="X90" s="31"/>
      <c r="Y90" s="31"/>
      <c r="Z90" s="31"/>
      <c r="AA90" s="31"/>
      <c r="AB90" s="31"/>
      <c r="AC90" s="31"/>
      <c r="AD90" s="31"/>
      <c r="AE90" s="31"/>
      <c r="AF90" s="31"/>
      <c r="AG90" s="31"/>
      <c r="AH90" s="31"/>
      <c r="AI90" s="31"/>
    </row>
    <row r="91" spans="2:59" x14ac:dyDescent="0.25">
      <c r="B91" t="s">
        <v>258</v>
      </c>
      <c r="T91" s="6">
        <f>DAYS360("31-12-2009",U91)</f>
        <v>438</v>
      </c>
      <c r="U91" s="5">
        <v>40620</v>
      </c>
      <c r="V91" s="6" t="s">
        <v>350</v>
      </c>
      <c r="W91" s="33">
        <v>300</v>
      </c>
      <c r="X91" s="33">
        <f>COUNT(W91)</f>
        <v>1</v>
      </c>
      <c r="Y91" s="33">
        <f>SUM(W91)</f>
        <v>300</v>
      </c>
      <c r="Z91" s="6">
        <f>($F$86-Y91)/X91</f>
        <v>518100</v>
      </c>
      <c r="AA91" s="6">
        <f>INT(Z91/60/24)</f>
        <v>359</v>
      </c>
      <c r="AB91" s="6">
        <f>Y91/X91</f>
        <v>300</v>
      </c>
      <c r="AC91" s="6">
        <f>Y91-W92</f>
        <v>0</v>
      </c>
      <c r="AD91" s="33">
        <f>SQRT((AC91*AC91)/COUNT(W91))</f>
        <v>0</v>
      </c>
      <c r="AE91" s="6">
        <f>1/AA91</f>
        <v>2.7855153203342618E-3</v>
      </c>
      <c r="AF91" s="6">
        <f>AE91*EXP(-AE91*(365*1))</f>
        <v>1.007749673042332E-3</v>
      </c>
      <c r="AG91" s="6">
        <f>1-EXP(-AE91*(365*1))</f>
        <v>0.63821786737780273</v>
      </c>
      <c r="AH91" s="6">
        <f>EXP(-AE91*(365*1))</f>
        <v>0.36178213262219722</v>
      </c>
      <c r="AI91" s="6">
        <f>$F$86/(Y91+$F$86)*100</f>
        <v>99.94216310005784</v>
      </c>
    </row>
    <row r="92" spans="2:59" x14ac:dyDescent="0.25">
      <c r="B92" t="s">
        <v>259</v>
      </c>
      <c r="T92" s="31"/>
      <c r="U92" s="31"/>
      <c r="V92" s="43" t="s">
        <v>235</v>
      </c>
      <c r="W92" s="6">
        <f>AVERAGE(W91)</f>
        <v>300</v>
      </c>
      <c r="X92" s="31"/>
      <c r="Y92" s="31"/>
      <c r="Z92" s="31"/>
      <c r="AA92" s="31"/>
      <c r="AB92" s="31"/>
      <c r="AC92" s="31"/>
      <c r="AD92" s="31"/>
      <c r="AE92" s="31"/>
      <c r="AF92" s="31"/>
      <c r="AG92" s="31"/>
      <c r="AH92" s="31"/>
      <c r="AI92" s="31"/>
    </row>
    <row r="93" spans="2:59" x14ac:dyDescent="0.25">
      <c r="T93" s="6">
        <f t="shared" ref="T93:T94" si="65">DAYS360("31-12-2009",U93)</f>
        <v>1391</v>
      </c>
      <c r="U93" s="5">
        <v>41589</v>
      </c>
      <c r="V93" s="6" t="s">
        <v>350</v>
      </c>
      <c r="W93" s="33">
        <v>240</v>
      </c>
      <c r="X93" s="31"/>
      <c r="Y93" s="31"/>
      <c r="Z93" s="31"/>
      <c r="AA93" s="31"/>
      <c r="AB93" s="31"/>
      <c r="AC93" s="31"/>
      <c r="AD93" s="31"/>
      <c r="AE93" s="31"/>
      <c r="AF93" s="31"/>
      <c r="AG93" s="31"/>
      <c r="AH93" s="31"/>
      <c r="AI93" s="31"/>
    </row>
    <row r="94" spans="2:59" x14ac:dyDescent="0.25">
      <c r="B94" s="37" t="s">
        <v>209</v>
      </c>
      <c r="T94" s="6">
        <f t="shared" si="65"/>
        <v>1405</v>
      </c>
      <c r="U94" s="5">
        <v>41603</v>
      </c>
      <c r="V94" s="6" t="s">
        <v>350</v>
      </c>
      <c r="W94" s="33">
        <f>8*60</f>
        <v>480</v>
      </c>
      <c r="X94" s="6">
        <f>COUNT(W93:W94)</f>
        <v>2</v>
      </c>
      <c r="Y94" s="6">
        <f>SUM(W93:W94)</f>
        <v>720</v>
      </c>
      <c r="Z94" s="6">
        <f>(2592000-Y94)/X94</f>
        <v>1295640</v>
      </c>
      <c r="AA94" s="6">
        <f>INT(Z94/60/24)</f>
        <v>899</v>
      </c>
      <c r="AB94" s="6">
        <f>Y94/X94</f>
        <v>360</v>
      </c>
      <c r="AC94" s="6">
        <f>Y94-W95</f>
        <v>360</v>
      </c>
      <c r="AD94" s="33">
        <f>SQRT((AC94*AC94)/COUNT(W93:W94))</f>
        <v>254.55844122715712</v>
      </c>
      <c r="AE94" s="6">
        <f>1/AA94</f>
        <v>1.1123470522803114E-3</v>
      </c>
      <c r="AF94" s="6">
        <f>AE94*EXP(-AE94*(365*1))</f>
        <v>7.4116320403873456E-4</v>
      </c>
      <c r="AG94" s="6">
        <f>1-EXP(-AE94*(365*1))</f>
        <v>0.33369427956917763</v>
      </c>
      <c r="AH94" s="6">
        <f>EXP(-AE94*(365*1))</f>
        <v>0.66630572043082237</v>
      </c>
      <c r="AI94" s="6">
        <f>F85/(Y94+F85)*100</f>
        <v>99.972229936128855</v>
      </c>
    </row>
    <row r="95" spans="2:59" x14ac:dyDescent="0.25">
      <c r="B95" s="37" t="s">
        <v>210</v>
      </c>
      <c r="T95" s="31"/>
      <c r="U95" s="71"/>
      <c r="V95" s="43" t="s">
        <v>235</v>
      </c>
      <c r="W95" s="6">
        <f>AVERAGE(W93:W94)</f>
        <v>360</v>
      </c>
      <c r="X95" s="31"/>
      <c r="Y95" s="31"/>
      <c r="Z95" s="31"/>
      <c r="AA95" s="31"/>
      <c r="AB95" s="31"/>
      <c r="AC95" s="31"/>
      <c r="AD95" s="31"/>
      <c r="AE95" s="31"/>
      <c r="AF95" s="31"/>
      <c r="AG95" s="31"/>
      <c r="AH95" s="31"/>
      <c r="AI95" s="31"/>
    </row>
    <row r="96" spans="2:59" x14ac:dyDescent="0.25">
      <c r="B96" s="40" t="s">
        <v>222</v>
      </c>
      <c r="T96" s="6">
        <f>DAYS360("31-12-2009",U96)</f>
        <v>289</v>
      </c>
      <c r="U96" s="5">
        <v>40470</v>
      </c>
      <c r="V96" s="6" t="s">
        <v>352</v>
      </c>
      <c r="W96" s="34">
        <v>120</v>
      </c>
      <c r="X96" s="33">
        <f>COUNT(W96)</f>
        <v>1</v>
      </c>
      <c r="Y96" s="33">
        <f>SUM(W96)</f>
        <v>120</v>
      </c>
      <c r="Z96" s="6">
        <f>($F$86-Y96)/X96</f>
        <v>518280</v>
      </c>
      <c r="AA96" s="6">
        <f>INT(Z96/60/24)</f>
        <v>359</v>
      </c>
      <c r="AB96" s="6">
        <f>Y96/X96</f>
        <v>120</v>
      </c>
      <c r="AC96" s="6">
        <f>Y96-W97</f>
        <v>0</v>
      </c>
      <c r="AD96" s="33">
        <f>SQRT((AC96*AC96)/COUNT(W96))</f>
        <v>0</v>
      </c>
      <c r="AE96" s="6">
        <f>1/AA96</f>
        <v>2.7855153203342618E-3</v>
      </c>
      <c r="AF96" s="6">
        <f>AE96*EXP(-AE96*(365*1))</f>
        <v>1.007749673042332E-3</v>
      </c>
      <c r="AG96" s="6">
        <f>1-EXP(-AE96*(365*1))</f>
        <v>0.63821786737780273</v>
      </c>
      <c r="AH96" s="6">
        <f>EXP(-AE96*(365*1))</f>
        <v>0.36178213262219722</v>
      </c>
      <c r="AI96" s="6">
        <f>$F$86/(Y96+$F$86)*100</f>
        <v>99.976857208979411</v>
      </c>
    </row>
    <row r="97" spans="2:35" x14ac:dyDescent="0.25">
      <c r="B97" s="40" t="s">
        <v>232</v>
      </c>
      <c r="T97" s="31"/>
      <c r="U97" s="31"/>
      <c r="V97" s="43" t="s">
        <v>235</v>
      </c>
      <c r="W97" s="6">
        <f>AVERAGE(W96)</f>
        <v>120</v>
      </c>
      <c r="X97" s="31"/>
      <c r="Y97" s="31"/>
      <c r="Z97" s="31"/>
      <c r="AA97" s="31"/>
      <c r="AB97" s="31"/>
      <c r="AC97" s="31"/>
      <c r="AD97" s="31"/>
      <c r="AE97" s="31"/>
      <c r="AF97" s="31"/>
      <c r="AG97" s="31"/>
      <c r="AH97" s="31"/>
      <c r="AI97" s="31"/>
    </row>
    <row r="98" spans="2:35" x14ac:dyDescent="0.25">
      <c r="B98" s="40"/>
      <c r="T98" s="6">
        <f t="shared" ref="T98:T102" si="66">DAYS360("31-12-2009",U98)</f>
        <v>742</v>
      </c>
      <c r="U98" s="5">
        <v>40930</v>
      </c>
      <c r="V98" s="30" t="s">
        <v>352</v>
      </c>
      <c r="W98" s="33">
        <v>120</v>
      </c>
      <c r="X98" s="31"/>
      <c r="Y98" s="31"/>
      <c r="Z98" s="31"/>
      <c r="AA98" s="31"/>
      <c r="AB98" s="31"/>
      <c r="AC98" s="31"/>
      <c r="AD98" s="31"/>
      <c r="AE98" s="31"/>
      <c r="AF98" s="31"/>
      <c r="AG98" s="31"/>
      <c r="AH98" s="31"/>
      <c r="AI98" s="31"/>
    </row>
    <row r="99" spans="2:35" x14ac:dyDescent="0.25">
      <c r="B99" t="s">
        <v>234</v>
      </c>
      <c r="T99" s="6">
        <f t="shared" si="66"/>
        <v>748</v>
      </c>
      <c r="U99" s="5">
        <v>40936</v>
      </c>
      <c r="V99" s="30" t="s">
        <v>352</v>
      </c>
      <c r="W99" s="33">
        <v>90</v>
      </c>
      <c r="X99" s="31"/>
      <c r="Y99" s="31"/>
      <c r="Z99" s="31"/>
      <c r="AA99" s="31"/>
      <c r="AB99" s="31"/>
      <c r="AC99" s="31"/>
      <c r="AD99" s="31"/>
      <c r="AE99" s="31"/>
      <c r="AF99" s="31"/>
      <c r="AG99" s="31"/>
      <c r="AH99" s="31"/>
      <c r="AI99" s="31"/>
    </row>
    <row r="100" spans="2:35" x14ac:dyDescent="0.25">
      <c r="T100" s="6">
        <f t="shared" si="66"/>
        <v>753</v>
      </c>
      <c r="U100" s="5">
        <v>40942</v>
      </c>
      <c r="V100" s="30" t="s">
        <v>352</v>
      </c>
      <c r="W100" s="33">
        <v>60</v>
      </c>
      <c r="X100" s="31"/>
      <c r="Y100" s="31"/>
      <c r="Z100" s="31"/>
      <c r="AA100" s="31"/>
      <c r="AB100" s="31"/>
      <c r="AC100" s="31"/>
      <c r="AD100" s="31"/>
      <c r="AE100" s="31"/>
      <c r="AF100" s="31"/>
      <c r="AG100" s="31"/>
      <c r="AH100" s="31"/>
      <c r="AI100" s="31"/>
    </row>
    <row r="101" spans="2:35" x14ac:dyDescent="0.25">
      <c r="B101" t="s">
        <v>225</v>
      </c>
      <c r="T101" s="6">
        <f t="shared" si="66"/>
        <v>779</v>
      </c>
      <c r="U101" s="5">
        <v>40968</v>
      </c>
      <c r="V101" s="30" t="s">
        <v>352</v>
      </c>
      <c r="W101" s="33">
        <v>240</v>
      </c>
      <c r="X101" s="31"/>
      <c r="Y101" s="31"/>
      <c r="Z101" s="31"/>
      <c r="AA101" s="31"/>
      <c r="AB101" s="31"/>
      <c r="AC101" s="31"/>
      <c r="AD101" s="31"/>
      <c r="AE101" s="31"/>
      <c r="AF101" s="31"/>
      <c r="AG101" s="31"/>
      <c r="AH101" s="31"/>
      <c r="AI101" s="31"/>
    </row>
    <row r="102" spans="2:35" x14ac:dyDescent="0.25">
      <c r="C102" t="s">
        <v>226</v>
      </c>
      <c r="T102" s="6">
        <f t="shared" si="66"/>
        <v>982</v>
      </c>
      <c r="U102" s="5">
        <v>41174</v>
      </c>
      <c r="V102" s="30" t="s">
        <v>352</v>
      </c>
      <c r="W102" s="33">
        <f>6*24*60</f>
        <v>8640</v>
      </c>
      <c r="X102" s="6">
        <f>COUNT(W98:W102)</f>
        <v>5</v>
      </c>
      <c r="Y102" s="6">
        <f>SUM(W98:W102)</f>
        <v>9150</v>
      </c>
      <c r="Z102" s="6">
        <f>(2592000-Y102)/X102</f>
        <v>516570</v>
      </c>
      <c r="AA102" s="6">
        <f>INT(Z102/60/24)</f>
        <v>358</v>
      </c>
      <c r="AB102" s="6">
        <f>Y102/X102</f>
        <v>1830</v>
      </c>
      <c r="AC102" s="6">
        <f>Y102-W103</f>
        <v>7320</v>
      </c>
      <c r="AD102" s="33">
        <f>SQRT((AC102*AC102)/COUNT(W98:W102))</f>
        <v>3273.6035190596922</v>
      </c>
      <c r="AE102" s="6">
        <f>1/AA102</f>
        <v>2.7932960893854749E-3</v>
      </c>
      <c r="AF102" s="6">
        <f>AE102*EXP(-AE102*(365*1))</f>
        <v>1.0076987037474692E-3</v>
      </c>
      <c r="AG102" s="6">
        <f>1-EXP(-AE102*(365*1))</f>
        <v>0.63924386405840605</v>
      </c>
      <c r="AH102" s="6">
        <f>EXP(-AE102*(365*1))</f>
        <v>0.36075613594159395</v>
      </c>
      <c r="AI102" s="6">
        <f>$F$86/(Y102+$F$86)*100</f>
        <v>98.26556724481091</v>
      </c>
    </row>
    <row r="103" spans="2:35" x14ac:dyDescent="0.25">
      <c r="C103" t="s">
        <v>227</v>
      </c>
      <c r="T103" s="31"/>
      <c r="U103" s="31"/>
      <c r="V103" s="43" t="s">
        <v>235</v>
      </c>
      <c r="W103" s="6">
        <f>AVERAGE(W98:W102)</f>
        <v>1830</v>
      </c>
      <c r="X103" s="31"/>
      <c r="Y103" s="31"/>
      <c r="Z103" s="31"/>
      <c r="AA103" s="31"/>
      <c r="AB103" s="31"/>
      <c r="AC103" s="31"/>
      <c r="AD103" s="31"/>
      <c r="AE103" s="31"/>
      <c r="AF103" s="31"/>
      <c r="AG103" s="31"/>
      <c r="AH103" s="31"/>
      <c r="AI103" s="31"/>
    </row>
    <row r="104" spans="2:35" x14ac:dyDescent="0.25">
      <c r="C104" t="s">
        <v>228</v>
      </c>
      <c r="T104" s="6">
        <f>DAYS360("31-12-2009",U104)</f>
        <v>1154</v>
      </c>
      <c r="U104" s="5">
        <v>41347</v>
      </c>
      <c r="V104" s="6" t="s">
        <v>352</v>
      </c>
      <c r="W104" s="33">
        <f>12*60</f>
        <v>720</v>
      </c>
      <c r="X104" s="6">
        <f>COUNT(W104)</f>
        <v>1</v>
      </c>
      <c r="Y104" s="6">
        <f>SUM(W104)</f>
        <v>720</v>
      </c>
      <c r="Z104" s="6">
        <f>(2592000-Y104)/X104</f>
        <v>2591280</v>
      </c>
      <c r="AA104" s="6">
        <f>INT(Z104/60/24)</f>
        <v>1799</v>
      </c>
      <c r="AB104" s="6">
        <f>Y104/X104</f>
        <v>720</v>
      </c>
      <c r="AC104" s="6">
        <f>Y104-W105</f>
        <v>-606.66666666666674</v>
      </c>
      <c r="AD104" s="33">
        <f>SQRT((AC104*AC104)/COUNT(W104))</f>
        <v>606.66666666666674</v>
      </c>
      <c r="AE104" s="6">
        <f>1/AA104</f>
        <v>5.5586436909394106E-4</v>
      </c>
      <c r="AF104" s="6">
        <f>AE104*EXP(-AE104*(365*1))</f>
        <v>4.5378967932068745E-4</v>
      </c>
      <c r="AG104" s="6">
        <f>1-EXP(-AE104*(365*1))</f>
        <v>0.18363236690208329</v>
      </c>
      <c r="AH104" s="6">
        <f>EXP(-AE104*(365*1))</f>
        <v>0.81636763309791671</v>
      </c>
      <c r="AI104" s="6">
        <f>$F$86/(Y104+$F$86)*100</f>
        <v>99.861303744798889</v>
      </c>
    </row>
    <row r="105" spans="2:35" x14ac:dyDescent="0.25">
      <c r="T105" s="31"/>
      <c r="U105" s="31"/>
      <c r="V105" s="43" t="s">
        <v>235</v>
      </c>
      <c r="W105" s="6">
        <f>AVERAGE(W96:W104)</f>
        <v>1326.6666666666667</v>
      </c>
      <c r="X105" s="31"/>
      <c r="Y105" s="31"/>
      <c r="Z105" s="31"/>
      <c r="AA105" s="31"/>
      <c r="AB105" s="31"/>
      <c r="AC105" s="31"/>
      <c r="AD105" s="31"/>
      <c r="AE105" s="31"/>
      <c r="AF105" s="31"/>
      <c r="AG105" s="31"/>
      <c r="AH105" s="31"/>
      <c r="AI105" s="31"/>
    </row>
    <row r="106" spans="2:35" x14ac:dyDescent="0.25">
      <c r="B106" t="s">
        <v>229</v>
      </c>
    </row>
  </sheetData>
  <sheetProtection sheet="1" objects="1" scenarios="1"/>
  <mergeCells count="8">
    <mergeCell ref="AY3:BB3"/>
    <mergeCell ref="BC3:BD3"/>
    <mergeCell ref="BE3:BG3"/>
    <mergeCell ref="B2:R3"/>
    <mergeCell ref="T2:AI3"/>
    <mergeCell ref="AK3:AP3"/>
    <mergeCell ref="AQ3:AR3"/>
    <mergeCell ref="AS3:AX3"/>
  </mergeCells>
  <pageMargins left="0.7" right="0.7" top="0.75" bottom="0.75" header="0.3" footer="0.3"/>
  <pageSetup paperSize="9" orientation="portrait" r:id="rId1"/>
  <drawing r:id="rId2"/>
  <legacyDrawing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2:DM85"/>
  <sheetViews>
    <sheetView topLeftCell="AZ7" zoomScale="85" zoomScaleNormal="85" workbookViewId="0">
      <selection activeCell="BI26" sqref="BI26"/>
    </sheetView>
  </sheetViews>
  <sheetFormatPr defaultRowHeight="15" x14ac:dyDescent="0.25"/>
  <cols>
    <col min="1" max="1" width="3" customWidth="1"/>
    <col min="2" max="3" width="10.42578125" bestFit="1" customWidth="1"/>
    <col min="4" max="4" width="21.42578125" bestFit="1" customWidth="1"/>
    <col min="6" max="6" width="19.28515625" bestFit="1" customWidth="1"/>
    <col min="7" max="7" width="19.140625" bestFit="1" customWidth="1"/>
    <col min="8" max="8" width="18.140625" bestFit="1" customWidth="1"/>
    <col min="13" max="20" width="9.140625" style="60"/>
    <col min="21" max="21" width="12.42578125" style="60" bestFit="1" customWidth="1"/>
    <col min="22" max="24" width="9.140625" customWidth="1"/>
    <col min="25" max="25" width="12.42578125" customWidth="1"/>
    <col min="26" max="37" width="9.140625" customWidth="1"/>
    <col min="40" max="40" width="10" bestFit="1" customWidth="1"/>
    <col min="41" max="41" width="10" customWidth="1"/>
    <col min="45" max="45" width="10.7109375" style="60" customWidth="1"/>
    <col min="46" max="53" width="9.140625" style="60"/>
    <col min="54" max="56" width="9.140625" customWidth="1"/>
    <col min="57" max="57" width="12.42578125" customWidth="1"/>
    <col min="58" max="69" width="9.140625" customWidth="1"/>
    <col min="73" max="81" width="9.140625" style="60"/>
    <col min="82" max="84" width="9.140625" customWidth="1"/>
    <col min="85" max="85" width="12.42578125" customWidth="1"/>
    <col min="86" max="97" width="9.140625" customWidth="1"/>
    <col min="101" max="101" width="9.140625" style="60"/>
    <col min="118" max="129" width="9.140625" customWidth="1"/>
  </cols>
  <sheetData>
    <row r="2" spans="2:117" ht="15" customHeight="1" x14ac:dyDescent="0.25">
      <c r="B2" s="123" t="s">
        <v>345</v>
      </c>
      <c r="C2" s="123"/>
      <c r="D2" s="123"/>
      <c r="E2" s="123"/>
      <c r="F2" s="123"/>
      <c r="G2" s="123"/>
      <c r="H2" s="123"/>
      <c r="AO2" s="60"/>
    </row>
    <row r="3" spans="2:117" ht="15" customHeight="1" x14ac:dyDescent="0.25">
      <c r="B3" s="123"/>
      <c r="C3" s="123"/>
      <c r="D3" s="123"/>
      <c r="E3" s="123"/>
      <c r="F3" s="123"/>
      <c r="G3" s="123"/>
      <c r="H3" s="123"/>
      <c r="J3" s="130" t="s">
        <v>292</v>
      </c>
      <c r="K3" s="130"/>
      <c r="L3" s="130"/>
      <c r="M3" s="130"/>
      <c r="N3" s="130"/>
      <c r="O3" s="130"/>
      <c r="P3" s="130"/>
      <c r="Q3" s="130"/>
      <c r="R3" s="130"/>
      <c r="S3" s="130"/>
      <c r="T3" s="130"/>
      <c r="U3" s="130"/>
      <c r="AL3" s="130" t="s">
        <v>292</v>
      </c>
      <c r="AM3" s="130"/>
      <c r="AN3" s="130"/>
      <c r="AO3" s="114"/>
      <c r="AP3" s="138" t="s">
        <v>292</v>
      </c>
      <c r="AQ3" s="139"/>
      <c r="AR3" s="139"/>
      <c r="AS3" s="139"/>
      <c r="AT3" s="139"/>
      <c r="AU3" s="139"/>
      <c r="AV3" s="139"/>
      <c r="AW3" s="139"/>
      <c r="AX3" s="139"/>
      <c r="AY3" s="139"/>
      <c r="AZ3" s="139"/>
      <c r="BA3" s="139"/>
      <c r="BR3" s="130" t="s">
        <v>292</v>
      </c>
      <c r="BS3" s="130"/>
      <c r="BT3" s="130"/>
      <c r="BU3" s="130"/>
      <c r="BV3" s="130"/>
      <c r="BW3" s="130"/>
      <c r="BX3" s="130"/>
      <c r="BY3" s="130"/>
      <c r="BZ3" s="130"/>
      <c r="CA3" s="130"/>
      <c r="CB3" s="130"/>
      <c r="CC3" s="130"/>
      <c r="CT3" s="130" t="s">
        <v>292</v>
      </c>
      <c r="CU3" s="130"/>
      <c r="CV3" s="130"/>
      <c r="CW3" s="114"/>
      <c r="CX3" s="130" t="s">
        <v>292</v>
      </c>
      <c r="CY3" s="130"/>
      <c r="CZ3" s="130"/>
      <c r="DA3" s="130"/>
      <c r="DB3" s="130"/>
      <c r="DC3" s="130"/>
      <c r="DD3" s="130"/>
      <c r="DE3" s="130"/>
      <c r="DF3" s="130"/>
      <c r="DG3" s="130"/>
      <c r="DH3" s="130"/>
      <c r="DI3" s="130"/>
    </row>
    <row r="4" spans="2:117" x14ac:dyDescent="0.25">
      <c r="B4" s="7" t="s">
        <v>165</v>
      </c>
      <c r="C4" s="7" t="s">
        <v>5</v>
      </c>
      <c r="D4" s="7" t="s">
        <v>197</v>
      </c>
      <c r="E4" s="7" t="s">
        <v>185</v>
      </c>
      <c r="F4" s="7" t="s">
        <v>278</v>
      </c>
      <c r="G4" s="7" t="s">
        <v>282</v>
      </c>
      <c r="H4" s="7" t="s">
        <v>280</v>
      </c>
      <c r="J4" s="131" t="s">
        <v>353</v>
      </c>
      <c r="K4" s="131"/>
      <c r="L4" s="131"/>
      <c r="M4" s="131"/>
      <c r="N4" s="131"/>
      <c r="O4" s="131"/>
      <c r="P4" s="131"/>
      <c r="Q4" s="131"/>
      <c r="R4" s="131"/>
      <c r="S4" s="131"/>
      <c r="T4" s="131"/>
      <c r="U4" s="131"/>
      <c r="AL4" s="131" t="s">
        <v>359</v>
      </c>
      <c r="AM4" s="131"/>
      <c r="AN4" s="131"/>
      <c r="AO4" s="115"/>
      <c r="AP4" s="136" t="s">
        <v>6</v>
      </c>
      <c r="AQ4" s="137"/>
      <c r="AR4" s="137"/>
      <c r="AS4" s="137"/>
      <c r="AT4" s="137"/>
      <c r="AU4" s="137"/>
      <c r="AV4" s="137"/>
      <c r="AW4" s="137"/>
      <c r="AX4" s="137"/>
      <c r="AY4" s="137"/>
      <c r="AZ4" s="137"/>
      <c r="BA4" s="137"/>
      <c r="BR4" s="131" t="s">
        <v>368</v>
      </c>
      <c r="BS4" s="131"/>
      <c r="BT4" s="131"/>
      <c r="BU4" s="131"/>
      <c r="BV4" s="131"/>
      <c r="BW4" s="131"/>
      <c r="BX4" s="131"/>
      <c r="BY4" s="131"/>
      <c r="BZ4" s="131"/>
      <c r="CA4" s="131"/>
      <c r="CB4" s="131"/>
      <c r="CC4" s="131"/>
      <c r="CT4" s="131" t="s">
        <v>367</v>
      </c>
      <c r="CU4" s="131"/>
      <c r="CV4" s="131"/>
      <c r="CW4" s="115"/>
      <c r="CX4" s="131" t="s">
        <v>369</v>
      </c>
      <c r="CY4" s="131"/>
      <c r="CZ4" s="131"/>
      <c r="DA4" s="131"/>
      <c r="DB4" s="131"/>
      <c r="DC4" s="131"/>
      <c r="DD4" s="131"/>
      <c r="DE4" s="131"/>
      <c r="DF4" s="131"/>
      <c r="DG4" s="131"/>
      <c r="DH4" s="131"/>
      <c r="DI4" s="131"/>
    </row>
    <row r="5" spans="2:117" x14ac:dyDescent="0.25">
      <c r="B5" s="8"/>
      <c r="C5" s="9"/>
      <c r="D5" s="9"/>
      <c r="E5" s="9" t="s">
        <v>187</v>
      </c>
      <c r="F5" s="9" t="s">
        <v>199</v>
      </c>
      <c r="G5" s="9" t="s">
        <v>281</v>
      </c>
      <c r="H5" s="9" t="s">
        <v>283</v>
      </c>
      <c r="J5" s="110" t="s">
        <v>286</v>
      </c>
      <c r="K5" s="110" t="s">
        <v>284</v>
      </c>
      <c r="L5" s="110" t="s">
        <v>287</v>
      </c>
      <c r="M5" s="110" t="s">
        <v>306</v>
      </c>
      <c r="N5" s="110" t="s">
        <v>307</v>
      </c>
      <c r="O5" s="110" t="s">
        <v>308</v>
      </c>
      <c r="P5" s="110" t="s">
        <v>309</v>
      </c>
      <c r="Q5" s="110" t="s">
        <v>310</v>
      </c>
      <c r="R5" s="110" t="s">
        <v>311</v>
      </c>
      <c r="S5" s="110" t="s">
        <v>312</v>
      </c>
      <c r="T5" s="110" t="s">
        <v>313</v>
      </c>
      <c r="U5" s="110" t="s">
        <v>314</v>
      </c>
      <c r="X5" s="110" t="s">
        <v>286</v>
      </c>
      <c r="Y5" s="110" t="s">
        <v>314</v>
      </c>
      <c r="AL5" s="111" t="s">
        <v>286</v>
      </c>
      <c r="AM5" s="111" t="s">
        <v>284</v>
      </c>
      <c r="AN5" s="111" t="s">
        <v>287</v>
      </c>
      <c r="AO5" s="115"/>
      <c r="AP5" s="111" t="s">
        <v>286</v>
      </c>
      <c r="AQ5" s="111" t="s">
        <v>284</v>
      </c>
      <c r="AR5" s="111" t="s">
        <v>287</v>
      </c>
      <c r="AS5" s="111" t="s">
        <v>306</v>
      </c>
      <c r="AT5" s="111" t="s">
        <v>307</v>
      </c>
      <c r="AU5" s="111" t="s">
        <v>308</v>
      </c>
      <c r="AV5" s="111" t="s">
        <v>309</v>
      </c>
      <c r="AW5" s="111" t="s">
        <v>310</v>
      </c>
      <c r="AX5" s="111" t="s">
        <v>311</v>
      </c>
      <c r="AY5" s="111" t="s">
        <v>312</v>
      </c>
      <c r="AZ5" s="111" t="s">
        <v>313</v>
      </c>
      <c r="BA5" s="111" t="s">
        <v>314</v>
      </c>
      <c r="BD5" s="111" t="s">
        <v>286</v>
      </c>
      <c r="BE5" s="111" t="s">
        <v>314</v>
      </c>
      <c r="BR5" s="111" t="s">
        <v>286</v>
      </c>
      <c r="BS5" s="111" t="s">
        <v>284</v>
      </c>
      <c r="BT5" s="111" t="s">
        <v>287</v>
      </c>
      <c r="BU5" s="111" t="s">
        <v>306</v>
      </c>
      <c r="BV5" s="111" t="s">
        <v>307</v>
      </c>
      <c r="BW5" s="111" t="s">
        <v>308</v>
      </c>
      <c r="BX5" s="111" t="s">
        <v>309</v>
      </c>
      <c r="BY5" s="111" t="s">
        <v>310</v>
      </c>
      <c r="BZ5" s="111" t="s">
        <v>311</v>
      </c>
      <c r="CA5" s="111" t="s">
        <v>312</v>
      </c>
      <c r="CB5" s="111" t="s">
        <v>313</v>
      </c>
      <c r="CC5" s="111" t="s">
        <v>314</v>
      </c>
      <c r="CF5" s="111" t="s">
        <v>286</v>
      </c>
      <c r="CG5" s="111" t="s">
        <v>314</v>
      </c>
      <c r="CT5" s="111"/>
      <c r="CU5" s="111"/>
      <c r="CV5" s="111"/>
      <c r="CW5" s="115"/>
      <c r="CX5" s="111" t="s">
        <v>286</v>
      </c>
      <c r="CY5" s="111" t="s">
        <v>284</v>
      </c>
      <c r="CZ5" s="111" t="s">
        <v>287</v>
      </c>
      <c r="DA5" s="111" t="s">
        <v>306</v>
      </c>
      <c r="DB5" s="111" t="s">
        <v>307</v>
      </c>
      <c r="DC5" s="111" t="s">
        <v>308</v>
      </c>
      <c r="DD5" s="111" t="s">
        <v>309</v>
      </c>
      <c r="DE5" s="111" t="s">
        <v>310</v>
      </c>
      <c r="DF5" s="111" t="s">
        <v>311</v>
      </c>
      <c r="DG5" s="111" t="s">
        <v>312</v>
      </c>
      <c r="DH5" s="111" t="s">
        <v>313</v>
      </c>
      <c r="DI5" s="111" t="s">
        <v>314</v>
      </c>
      <c r="DL5" s="111" t="s">
        <v>286</v>
      </c>
      <c r="DM5" s="111" t="s">
        <v>314</v>
      </c>
    </row>
    <row r="6" spans="2:117" x14ac:dyDescent="0.25">
      <c r="B6" s="6">
        <f>DAYS360("31-12-2009",C6)</f>
        <v>240</v>
      </c>
      <c r="C6" s="5">
        <v>40420</v>
      </c>
      <c r="D6" s="6" t="s">
        <v>347</v>
      </c>
      <c r="E6" s="34">
        <v>60</v>
      </c>
      <c r="F6" s="79" t="s">
        <v>279</v>
      </c>
      <c r="G6" s="79" t="s">
        <v>279</v>
      </c>
      <c r="H6" s="79" t="s">
        <v>279</v>
      </c>
      <c r="J6" s="83" t="s">
        <v>293</v>
      </c>
      <c r="K6" s="83" t="s">
        <v>293</v>
      </c>
      <c r="L6" s="85" t="s">
        <v>293</v>
      </c>
      <c r="M6" s="85" t="s">
        <v>293</v>
      </c>
      <c r="N6" s="85" t="s">
        <v>293</v>
      </c>
      <c r="O6" s="85" t="s">
        <v>293</v>
      </c>
      <c r="P6" s="85" t="s">
        <v>293</v>
      </c>
      <c r="Q6" s="85" t="s">
        <v>293</v>
      </c>
      <c r="R6" s="85" t="s">
        <v>293</v>
      </c>
      <c r="S6" s="85" t="s">
        <v>293</v>
      </c>
      <c r="T6" s="85" t="s">
        <v>293</v>
      </c>
      <c r="U6" s="85" t="s">
        <v>293</v>
      </c>
      <c r="X6" s="83" t="s">
        <v>293</v>
      </c>
      <c r="Y6" s="83" t="s">
        <v>293</v>
      </c>
      <c r="AL6" s="83" t="s">
        <v>293</v>
      </c>
      <c r="AM6" s="83" t="s">
        <v>293</v>
      </c>
      <c r="AN6" s="83" t="s">
        <v>293</v>
      </c>
      <c r="AO6" s="93"/>
      <c r="AP6" s="83" t="s">
        <v>293</v>
      </c>
      <c r="AQ6" s="83" t="s">
        <v>293</v>
      </c>
      <c r="AR6" s="83" t="s">
        <v>293</v>
      </c>
      <c r="AS6" s="85" t="s">
        <v>293</v>
      </c>
      <c r="AT6" s="85" t="s">
        <v>293</v>
      </c>
      <c r="AU6" s="85" t="s">
        <v>293</v>
      </c>
      <c r="AV6" s="85" t="s">
        <v>293</v>
      </c>
      <c r="AW6" s="85" t="s">
        <v>293</v>
      </c>
      <c r="AX6" s="85" t="s">
        <v>293</v>
      </c>
      <c r="AY6" s="85" t="s">
        <v>293</v>
      </c>
      <c r="AZ6" s="85" t="s">
        <v>293</v>
      </c>
      <c r="BA6" s="85" t="s">
        <v>293</v>
      </c>
      <c r="BD6" s="83" t="s">
        <v>293</v>
      </c>
      <c r="BE6" s="83" t="s">
        <v>293</v>
      </c>
      <c r="BR6" s="83" t="s">
        <v>293</v>
      </c>
      <c r="BS6" s="83" t="s">
        <v>293</v>
      </c>
      <c r="BT6" s="83" t="s">
        <v>293</v>
      </c>
      <c r="BU6" s="83" t="s">
        <v>293</v>
      </c>
      <c r="BV6" s="83" t="s">
        <v>293</v>
      </c>
      <c r="BW6" s="83" t="s">
        <v>293</v>
      </c>
      <c r="BX6" s="83" t="s">
        <v>293</v>
      </c>
      <c r="BY6" s="83" t="s">
        <v>293</v>
      </c>
      <c r="BZ6" s="83" t="s">
        <v>293</v>
      </c>
      <c r="CA6" s="83" t="s">
        <v>293</v>
      </c>
      <c r="CB6" s="83" t="s">
        <v>293</v>
      </c>
      <c r="CC6" s="83" t="s">
        <v>293</v>
      </c>
      <c r="CF6" s="83" t="s">
        <v>293</v>
      </c>
      <c r="CG6" s="83" t="s">
        <v>293</v>
      </c>
      <c r="CT6" s="83" t="s">
        <v>293</v>
      </c>
      <c r="CU6" s="83" t="s">
        <v>293</v>
      </c>
      <c r="CV6" s="83" t="s">
        <v>293</v>
      </c>
      <c r="CW6" s="93"/>
      <c r="CX6" s="83" t="s">
        <v>293</v>
      </c>
      <c r="CY6" s="83" t="s">
        <v>293</v>
      </c>
      <c r="CZ6" s="83" t="s">
        <v>293</v>
      </c>
      <c r="DA6" s="83" t="s">
        <v>293</v>
      </c>
      <c r="DB6" s="83" t="s">
        <v>293</v>
      </c>
      <c r="DC6" s="83" t="s">
        <v>293</v>
      </c>
      <c r="DD6" s="83" t="s">
        <v>293</v>
      </c>
      <c r="DE6" s="83" t="s">
        <v>293</v>
      </c>
      <c r="DF6" s="83" t="s">
        <v>293</v>
      </c>
      <c r="DG6" s="83" t="s">
        <v>293</v>
      </c>
      <c r="DH6" s="83" t="s">
        <v>293</v>
      </c>
      <c r="DI6" s="83" t="s">
        <v>293</v>
      </c>
      <c r="DL6" s="83" t="s">
        <v>293</v>
      </c>
      <c r="DM6" s="83" t="s">
        <v>293</v>
      </c>
    </row>
    <row r="7" spans="2:117" x14ac:dyDescent="0.25">
      <c r="B7" s="6">
        <f t="shared" ref="B7" si="0">DAYS360("31-12-2009",C7)</f>
        <v>285</v>
      </c>
      <c r="C7" s="5">
        <v>40466</v>
      </c>
      <c r="D7" s="6" t="s">
        <v>347</v>
      </c>
      <c r="E7" s="34">
        <v>240</v>
      </c>
      <c r="F7" s="6">
        <f>C7-C6</f>
        <v>46</v>
      </c>
      <c r="G7" s="6">
        <v>46</v>
      </c>
      <c r="H7" s="6">
        <v>1</v>
      </c>
      <c r="J7" s="103"/>
      <c r="K7" s="103"/>
      <c r="L7" s="113"/>
      <c r="M7" s="113"/>
      <c r="N7" s="113"/>
      <c r="O7" s="113"/>
      <c r="P7" s="113"/>
      <c r="Q7" s="113"/>
      <c r="R7" s="113"/>
      <c r="S7" s="113"/>
      <c r="T7" s="113"/>
      <c r="U7" s="113"/>
      <c r="X7" s="102"/>
      <c r="Y7" s="104"/>
      <c r="AL7" s="34">
        <v>458</v>
      </c>
      <c r="AM7" s="6">
        <v>1</v>
      </c>
      <c r="AN7" s="83">
        <f>($AN$9-AM7+0.625)/($AN$9+0.25)</f>
        <v>0.5</v>
      </c>
      <c r="AO7" s="93"/>
      <c r="AP7" s="89">
        <v>11</v>
      </c>
      <c r="AQ7" s="6">
        <v>1</v>
      </c>
      <c r="AR7" s="88">
        <f t="shared" ref="AR7:AR24" si="1">($AR$26-AQ7+0.625)/($AR$26+0.25)</f>
        <v>0.96575342465753422</v>
      </c>
      <c r="AS7" s="88">
        <f t="shared" ref="AS7:AS24" si="2">1-AR7</f>
        <v>3.4246575342465779E-2</v>
      </c>
      <c r="AT7" s="6">
        <f t="shared" ref="AT7:AT24" si="3">LN(LN(1/AR7))</f>
        <v>-3.3567959387090305</v>
      </c>
      <c r="AU7" s="6">
        <f t="shared" ref="AU7:AU24" si="4">LN(AP7)</f>
        <v>2.3978952727983707</v>
      </c>
      <c r="AV7" s="6">
        <f t="shared" ref="AV7:AV24" si="5">1/AR7</f>
        <v>1.0354609929078014</v>
      </c>
      <c r="AW7" s="6">
        <f t="shared" ref="AW7:AW24" si="6">LN(LN(AV7))</f>
        <v>-3.3567959387090305</v>
      </c>
      <c r="AX7" s="6">
        <f t="shared" ref="AX7:AX24" si="7">LN(AP7)</f>
        <v>2.3978952727983707</v>
      </c>
      <c r="AY7" s="6">
        <f t="shared" ref="AY7:AY24" si="8">AX7*AX7</f>
        <v>5.7499017393087728</v>
      </c>
      <c r="AZ7" s="6">
        <f t="shared" ref="AZ7:AZ24" si="9">AX7*AW7</f>
        <v>-8.049245113179154</v>
      </c>
      <c r="BA7" s="6">
        <f>EXP(-((AP7/$AQ$55)^$AQ$56))</f>
        <v>0.93016114303998154</v>
      </c>
      <c r="BD7" s="30">
        <v>0</v>
      </c>
      <c r="BE7" s="6">
        <f>EXP(-((BD7/$K$63)^$K$64))</f>
        <v>1</v>
      </c>
      <c r="BR7" s="89">
        <v>22</v>
      </c>
      <c r="BS7" s="6">
        <v>1</v>
      </c>
      <c r="BT7" s="83">
        <f>($BT$19-BS7+0.625)/($BT$19+0.25)</f>
        <v>0.94444444444444442</v>
      </c>
      <c r="BU7" s="88">
        <f t="shared" ref="BU7:BU17" si="10">1-BT7</f>
        <v>5.555555555555558E-2</v>
      </c>
      <c r="BV7" s="6">
        <f t="shared" ref="BV7:BV17" si="11">LN(LN(1/BT7))</f>
        <v>-2.8619286757815505</v>
      </c>
      <c r="BW7" s="6">
        <f t="shared" ref="BW7:BW17" si="12">LN(BR7)</f>
        <v>3.0910424533583161</v>
      </c>
      <c r="BX7" s="6">
        <f t="shared" ref="BX7:BX17" si="13">1/BT7</f>
        <v>1.0588235294117647</v>
      </c>
      <c r="BY7" s="6">
        <f t="shared" ref="BY7:BY17" si="14">LN(LN(BX7))</f>
        <v>-2.8619286757815505</v>
      </c>
      <c r="BZ7" s="6">
        <f t="shared" ref="BZ7:BZ17" si="15">LN(BR7)</f>
        <v>3.0910424533583161</v>
      </c>
      <c r="CA7" s="6">
        <f t="shared" ref="CA7:CA17" si="16">BZ7*BZ7</f>
        <v>9.5545434484633969</v>
      </c>
      <c r="CB7" s="6">
        <f t="shared" ref="CB7:CB17" si="17">BZ7*BY7</f>
        <v>-8.8463430353243204</v>
      </c>
      <c r="CC7" s="6">
        <f>EXP(-((BR7/$BS$48)^$BS$49))</f>
        <v>0.89404357411357316</v>
      </c>
      <c r="CF7" s="30">
        <v>0</v>
      </c>
      <c r="CG7" s="6">
        <f>EXP(-((CF7/$K$63)^$K$64))</f>
        <v>1</v>
      </c>
      <c r="CT7" s="44">
        <v>14</v>
      </c>
      <c r="CU7" s="6">
        <v>1</v>
      </c>
      <c r="CV7" s="83">
        <f>($CV$10-CU7+0.625)/($CV$10+0.25)</f>
        <v>0.72222222222222221</v>
      </c>
      <c r="CW7" s="93"/>
      <c r="CX7" s="89">
        <v>6</v>
      </c>
      <c r="CY7" s="6">
        <v>1</v>
      </c>
      <c r="CZ7" s="83">
        <f>($CZ$14-CY7+0.625)/($CZ$14+0.25)</f>
        <v>0.9</v>
      </c>
      <c r="DA7" s="88">
        <f>1-CZ7</f>
        <v>9.9999999999999978E-2</v>
      </c>
      <c r="DB7" s="6">
        <f>LN(LN(1/CZ7))</f>
        <v>-2.2503673273124449</v>
      </c>
      <c r="DC7" s="6">
        <f>LN(CX7)</f>
        <v>1.791759469228055</v>
      </c>
      <c r="DD7" s="6">
        <f>1/CZ7</f>
        <v>1.1111111111111112</v>
      </c>
      <c r="DE7" s="6">
        <f>LN(LN(DD7))</f>
        <v>-2.2503673273124449</v>
      </c>
      <c r="DF7" s="6">
        <f>LN(CX7)</f>
        <v>1.791759469228055</v>
      </c>
      <c r="DG7" s="6">
        <f>DF7*DF7</f>
        <v>3.2104019955684011</v>
      </c>
      <c r="DH7" s="6">
        <f>DF7*DE7</f>
        <v>-4.0321169679535034</v>
      </c>
      <c r="DI7" s="6">
        <f>EXP(-((CX7/$CY$43)^$CY$44))</f>
        <v>0.82861806497979595</v>
      </c>
      <c r="DL7" s="30">
        <v>0</v>
      </c>
      <c r="DM7" s="6">
        <f>EXP(-((DL7/$CY$43)^$CY$44))</f>
        <v>1</v>
      </c>
    </row>
    <row r="8" spans="2:117" x14ac:dyDescent="0.25">
      <c r="B8" s="6">
        <f t="shared" ref="B8:B14" si="18">DAYS360("31-12-2009",C8)</f>
        <v>434</v>
      </c>
      <c r="C8" s="5">
        <v>40616</v>
      </c>
      <c r="D8" s="6" t="s">
        <v>347</v>
      </c>
      <c r="E8" s="33">
        <v>120</v>
      </c>
      <c r="F8" s="6">
        <f t="shared" ref="F8:F32" si="19">C8-C7</f>
        <v>150</v>
      </c>
      <c r="G8" s="6">
        <v>150</v>
      </c>
      <c r="H8" s="6">
        <v>1</v>
      </c>
      <c r="J8" s="103"/>
      <c r="K8" s="103"/>
      <c r="L8" s="113"/>
      <c r="M8" s="113"/>
      <c r="N8" s="113"/>
      <c r="O8" s="113"/>
      <c r="P8" s="113"/>
      <c r="Q8" s="113"/>
      <c r="R8" s="113"/>
      <c r="S8" s="113"/>
      <c r="T8" s="113"/>
      <c r="U8" s="113"/>
      <c r="X8" s="102"/>
      <c r="Y8" s="104"/>
      <c r="AL8" s="90"/>
      <c r="AM8" s="66"/>
      <c r="AN8" s="91"/>
      <c r="AO8" s="93"/>
      <c r="AP8" s="44">
        <v>15</v>
      </c>
      <c r="AQ8" s="6">
        <v>2</v>
      </c>
      <c r="AR8" s="88">
        <f t="shared" si="1"/>
        <v>0.91095890410958902</v>
      </c>
      <c r="AS8" s="88">
        <f t="shared" si="2"/>
        <v>8.9041095890410982E-2</v>
      </c>
      <c r="AT8" s="6">
        <f t="shared" si="3"/>
        <v>-2.3723908645813876</v>
      </c>
      <c r="AU8" s="6">
        <f t="shared" si="4"/>
        <v>2.7080502011022101</v>
      </c>
      <c r="AV8" s="6">
        <f t="shared" si="5"/>
        <v>1.0977443609022557</v>
      </c>
      <c r="AW8" s="6">
        <f t="shared" si="6"/>
        <v>-2.3723908645813876</v>
      </c>
      <c r="AX8" s="6">
        <f t="shared" si="7"/>
        <v>2.7080502011022101</v>
      </c>
      <c r="AY8" s="6">
        <f t="shared" si="8"/>
        <v>7.3335358916897206</v>
      </c>
      <c r="AZ8" s="6">
        <f t="shared" si="9"/>
        <v>-6.4245535579226729</v>
      </c>
      <c r="BA8" s="6">
        <f t="shared" ref="BA8:BA24" si="20">EXP(-((AP8/$AQ$55)^$AQ$56))</f>
        <v>0.90366981310738315</v>
      </c>
      <c r="BD8" s="34">
        <v>10</v>
      </c>
      <c r="BE8" s="6">
        <f>EXP(-((BD8/$AQ$55)^$AQ$56))</f>
        <v>0.93678766660233304</v>
      </c>
      <c r="BR8" s="89">
        <v>23</v>
      </c>
      <c r="BS8" s="6">
        <v>2</v>
      </c>
      <c r="BT8" s="83">
        <f t="shared" ref="BT8:BT17" si="21">($BT$19-BS8+0.625)/($BT$19+0.25)</f>
        <v>0.85555555555555551</v>
      </c>
      <c r="BU8" s="88">
        <f t="shared" si="10"/>
        <v>0.14444444444444449</v>
      </c>
      <c r="BV8" s="6">
        <f t="shared" si="11"/>
        <v>-1.8578720382791942</v>
      </c>
      <c r="BW8" s="6">
        <f t="shared" si="12"/>
        <v>3.1354942159291497</v>
      </c>
      <c r="BX8" s="6">
        <f t="shared" si="13"/>
        <v>1.168831168831169</v>
      </c>
      <c r="BY8" s="6">
        <f t="shared" si="14"/>
        <v>-1.8578720382791942</v>
      </c>
      <c r="BZ8" s="6">
        <f t="shared" si="15"/>
        <v>3.1354942159291497</v>
      </c>
      <c r="CA8" s="6">
        <f t="shared" si="16"/>
        <v>9.8313239781251536</v>
      </c>
      <c r="CB8" s="6">
        <f t="shared" si="17"/>
        <v>-5.8253470299609136</v>
      </c>
      <c r="CC8" s="6">
        <f t="shared" ref="CC8:CC17" si="22">EXP(-((BR8/$BS$48)^$BS$49))</f>
        <v>0.88741759663680719</v>
      </c>
      <c r="CF8" s="34">
        <v>10</v>
      </c>
      <c r="CG8" s="6">
        <f>EXP(-((CF8/$BS$48)^$BS$49))</f>
        <v>0.96483487456636241</v>
      </c>
      <c r="CT8" s="89">
        <v>969</v>
      </c>
      <c r="CU8" s="6">
        <v>2</v>
      </c>
      <c r="CV8" s="83">
        <f>($CV$10-CU8+0.625)/($CV$10+0.25)</f>
        <v>0.27777777777777779</v>
      </c>
      <c r="CW8" s="93"/>
      <c r="CX8" s="89">
        <v>6</v>
      </c>
      <c r="CY8" s="6">
        <v>2</v>
      </c>
      <c r="CZ8" s="83">
        <f t="shared" ref="CZ8:CZ12" si="23">($CZ$14-CY8+0.625)/($CZ$14+0.25)</f>
        <v>0.74</v>
      </c>
      <c r="DA8" s="88">
        <f t="shared" ref="DA8:DA12" si="24">1-CZ8</f>
        <v>0.26</v>
      </c>
      <c r="DB8" s="6">
        <f t="shared" ref="DB8:DB12" si="25">LN(LN(1/CZ8))</f>
        <v>-1.2002959297088209</v>
      </c>
      <c r="DC8" s="6">
        <f t="shared" ref="DC8:DC12" si="26">LN(CX8)</f>
        <v>1.791759469228055</v>
      </c>
      <c r="DD8" s="6">
        <f t="shared" ref="DD8:DD12" si="27">1/CZ8</f>
        <v>1.3513513513513513</v>
      </c>
      <c r="DE8" s="6">
        <f t="shared" ref="DE8:DE12" si="28">LN(LN(DD8))</f>
        <v>-1.2002959297088209</v>
      </c>
      <c r="DF8" s="6">
        <f t="shared" ref="DF8:DF12" si="29">LN(CX8)</f>
        <v>1.791759469228055</v>
      </c>
      <c r="DG8" s="6">
        <f t="shared" ref="DG8:DG12" si="30">DF8*DF8</f>
        <v>3.2104019955684011</v>
      </c>
      <c r="DH8" s="6">
        <f t="shared" ref="DH8:DH12" si="31">DF8*DE8</f>
        <v>-2.1506415979316715</v>
      </c>
      <c r="DI8" s="6">
        <f t="shared" ref="DI8:DI12" si="32">EXP(-((CX8/$CY$43)^$CY$44))</f>
        <v>0.82861806497979595</v>
      </c>
      <c r="DL8" s="34">
        <f>DL7+10</f>
        <v>10</v>
      </c>
      <c r="DM8" s="6">
        <f>EXP(-((DL8/$BS$48)^$BS$49))</f>
        <v>0.96483487456636241</v>
      </c>
    </row>
    <row r="9" spans="2:117" x14ac:dyDescent="0.25">
      <c r="B9" s="6">
        <f t="shared" si="18"/>
        <v>533</v>
      </c>
      <c r="C9" s="5">
        <v>40717</v>
      </c>
      <c r="D9" s="6" t="s">
        <v>347</v>
      </c>
      <c r="E9" s="33">
        <v>30</v>
      </c>
      <c r="F9" s="6">
        <f t="shared" si="19"/>
        <v>101</v>
      </c>
      <c r="G9" s="6">
        <v>101</v>
      </c>
      <c r="H9" s="6">
        <v>3</v>
      </c>
      <c r="J9" s="103"/>
      <c r="K9" s="103"/>
      <c r="L9" s="113"/>
      <c r="M9" s="113"/>
      <c r="N9" s="113"/>
      <c r="O9" s="113"/>
      <c r="P9" s="113"/>
      <c r="Q9" s="113"/>
      <c r="R9" s="113"/>
      <c r="S9" s="113"/>
      <c r="T9" s="113"/>
      <c r="U9" s="113"/>
      <c r="X9" s="102"/>
      <c r="Y9" s="104"/>
      <c r="AL9" s="84"/>
      <c r="AM9" s="80" t="s">
        <v>285</v>
      </c>
      <c r="AN9" s="81">
        <f>COUNT(AM7)</f>
        <v>1</v>
      </c>
      <c r="AO9" s="114"/>
      <c r="AP9" s="89">
        <v>16</v>
      </c>
      <c r="AQ9" s="6">
        <v>3</v>
      </c>
      <c r="AR9" s="88">
        <f t="shared" si="1"/>
        <v>0.85616438356164382</v>
      </c>
      <c r="AS9" s="88">
        <f t="shared" si="2"/>
        <v>0.14383561643835618</v>
      </c>
      <c r="AT9" s="6">
        <f t="shared" si="3"/>
        <v>-1.8624423682542968</v>
      </c>
      <c r="AU9" s="6">
        <f t="shared" si="4"/>
        <v>2.7725887222397811</v>
      </c>
      <c r="AV9" s="6">
        <f t="shared" si="5"/>
        <v>1.1679999999999999</v>
      </c>
      <c r="AW9" s="6">
        <f t="shared" si="6"/>
        <v>-1.8624423682542968</v>
      </c>
      <c r="AX9" s="6">
        <f t="shared" si="7"/>
        <v>2.7725887222397811</v>
      </c>
      <c r="AY9" s="6">
        <f t="shared" si="8"/>
        <v>7.6872482226912222</v>
      </c>
      <c r="AZ9" s="6">
        <f t="shared" si="9"/>
        <v>-5.1637867060434122</v>
      </c>
      <c r="BA9" s="6">
        <f t="shared" si="20"/>
        <v>0.8970687793986033</v>
      </c>
      <c r="BD9" s="34">
        <f>BD8+10</f>
        <v>20</v>
      </c>
      <c r="BE9" s="6">
        <f t="shared" ref="BE9:BE40" si="33">EXP(-((BD9/$AQ$55)^$AQ$56))</f>
        <v>0.87082890416547309</v>
      </c>
      <c r="BR9" s="44">
        <v>48</v>
      </c>
      <c r="BS9" s="6">
        <v>3</v>
      </c>
      <c r="BT9" s="83">
        <f t="shared" si="21"/>
        <v>0.76666666666666672</v>
      </c>
      <c r="BU9" s="88">
        <f t="shared" si="10"/>
        <v>0.23333333333333328</v>
      </c>
      <c r="BV9" s="6">
        <f t="shared" si="11"/>
        <v>-1.3253755115978278</v>
      </c>
      <c r="BW9" s="6">
        <f t="shared" si="12"/>
        <v>3.8712010109078911</v>
      </c>
      <c r="BX9" s="6">
        <f t="shared" si="13"/>
        <v>1.3043478260869565</v>
      </c>
      <c r="BY9" s="6">
        <f t="shared" si="14"/>
        <v>-1.3253755115978278</v>
      </c>
      <c r="BZ9" s="6">
        <f t="shared" si="15"/>
        <v>3.8712010109078911</v>
      </c>
      <c r="CA9" s="6">
        <f t="shared" si="16"/>
        <v>14.986197266854278</v>
      </c>
      <c r="CB9" s="6">
        <f t="shared" si="17"/>
        <v>-5.1307950203300745</v>
      </c>
      <c r="CC9" s="6">
        <f t="shared" si="22"/>
        <v>0.7073492349784446</v>
      </c>
      <c r="CF9" s="34">
        <f>CF8+10</f>
        <v>20</v>
      </c>
      <c r="CG9" s="6">
        <f t="shared" ref="CG9:CG38" si="34">EXP(-((CF9/$BS$48)^$BS$49))</f>
        <v>0.90703378618128405</v>
      </c>
      <c r="CT9" s="87"/>
      <c r="CU9" s="87"/>
      <c r="CV9" s="87"/>
      <c r="CW9" s="93"/>
      <c r="CX9" s="89">
        <v>26</v>
      </c>
      <c r="CY9" s="6">
        <v>3</v>
      </c>
      <c r="CZ9" s="83">
        <f t="shared" si="23"/>
        <v>0.57999999999999996</v>
      </c>
      <c r="DA9" s="88">
        <f t="shared" si="24"/>
        <v>0.42000000000000004</v>
      </c>
      <c r="DB9" s="6">
        <f t="shared" si="25"/>
        <v>-0.60747020517852923</v>
      </c>
      <c r="DC9" s="6">
        <f t="shared" si="26"/>
        <v>3.2580965380214821</v>
      </c>
      <c r="DD9" s="6">
        <f t="shared" si="27"/>
        <v>1.7241379310344829</v>
      </c>
      <c r="DE9" s="6">
        <f t="shared" si="28"/>
        <v>-0.60747020517852923</v>
      </c>
      <c r="DF9" s="6">
        <f t="shared" si="29"/>
        <v>3.2580965380214821</v>
      </c>
      <c r="DG9" s="6">
        <f t="shared" si="30"/>
        <v>10.615193051067568</v>
      </c>
      <c r="DH9" s="6">
        <f t="shared" si="31"/>
        <v>-1.9791965724433656</v>
      </c>
      <c r="DI9" s="6">
        <f t="shared" si="32"/>
        <v>0.65718147908083058</v>
      </c>
      <c r="DL9" s="34">
        <f t="shared" ref="DL9:DL38" si="35">DL8+10</f>
        <v>20</v>
      </c>
      <c r="DM9" s="6">
        <f t="shared" ref="DM9:DM38" si="36">EXP(-((DL9/$BS$48)^$BS$49))</f>
        <v>0.90703378618128405</v>
      </c>
    </row>
    <row r="10" spans="2:117" x14ac:dyDescent="0.25">
      <c r="B10" s="6">
        <f t="shared" si="18"/>
        <v>657</v>
      </c>
      <c r="C10" s="5">
        <v>40843</v>
      </c>
      <c r="D10" s="6" t="s">
        <v>347</v>
      </c>
      <c r="E10" s="33">
        <v>180</v>
      </c>
      <c r="F10" s="6">
        <f t="shared" si="19"/>
        <v>126</v>
      </c>
      <c r="G10" s="6">
        <v>126</v>
      </c>
      <c r="H10" s="6">
        <v>4</v>
      </c>
      <c r="J10" s="103"/>
      <c r="K10" s="103"/>
      <c r="L10" s="113"/>
      <c r="M10" s="113"/>
      <c r="N10" s="113"/>
      <c r="O10" s="113"/>
      <c r="P10" s="113"/>
      <c r="Q10" s="113"/>
      <c r="R10" s="113"/>
      <c r="S10" s="113"/>
      <c r="T10" s="113"/>
      <c r="U10" s="113"/>
      <c r="X10" s="102"/>
      <c r="Y10" s="104"/>
      <c r="AL10" s="84"/>
      <c r="AM10" s="11"/>
      <c r="AN10" s="87"/>
      <c r="AO10" s="93"/>
      <c r="AP10" s="44">
        <v>19</v>
      </c>
      <c r="AQ10" s="6">
        <v>4</v>
      </c>
      <c r="AR10" s="88">
        <f t="shared" si="1"/>
        <v>0.80136986301369861</v>
      </c>
      <c r="AS10" s="88">
        <f t="shared" si="2"/>
        <v>0.19863013698630139</v>
      </c>
      <c r="AT10" s="6">
        <f t="shared" si="3"/>
        <v>-1.5076366322490944</v>
      </c>
      <c r="AU10" s="6">
        <f t="shared" si="4"/>
        <v>2.9444389791664403</v>
      </c>
      <c r="AV10" s="6">
        <f t="shared" si="5"/>
        <v>1.2478632478632479</v>
      </c>
      <c r="AW10" s="6">
        <f t="shared" si="6"/>
        <v>-1.5076366322490944</v>
      </c>
      <c r="AX10" s="6">
        <f t="shared" si="7"/>
        <v>2.9444389791664403</v>
      </c>
      <c r="AY10" s="6">
        <f t="shared" si="8"/>
        <v>8.6697209020347081</v>
      </c>
      <c r="AZ10" s="6">
        <f t="shared" si="9"/>
        <v>-4.4391440664134532</v>
      </c>
      <c r="BA10" s="6">
        <f t="shared" si="20"/>
        <v>0.8773602844861792</v>
      </c>
      <c r="BD10" s="34">
        <f t="shared" ref="BD10:BD40" si="37">BD9+10</f>
        <v>30</v>
      </c>
      <c r="BE10" s="6">
        <f t="shared" si="33"/>
        <v>0.80690761924889232</v>
      </c>
      <c r="BR10" s="89">
        <v>50</v>
      </c>
      <c r="BS10" s="6">
        <v>4</v>
      </c>
      <c r="BT10" s="83">
        <f t="shared" si="21"/>
        <v>0.67777777777777781</v>
      </c>
      <c r="BU10" s="88">
        <f t="shared" si="10"/>
        <v>0.32222222222222219</v>
      </c>
      <c r="BV10" s="6">
        <f t="shared" si="11"/>
        <v>-0.94434097171420683</v>
      </c>
      <c r="BW10" s="6">
        <f t="shared" si="12"/>
        <v>3.912023005428146</v>
      </c>
      <c r="BX10" s="6">
        <f t="shared" si="13"/>
        <v>1.4754098360655736</v>
      </c>
      <c r="BY10" s="6">
        <f t="shared" si="14"/>
        <v>-0.94434097171420683</v>
      </c>
      <c r="BZ10" s="6">
        <f t="shared" si="15"/>
        <v>3.912023005428146</v>
      </c>
      <c r="CA10" s="6">
        <f t="shared" si="16"/>
        <v>15.303923994999064</v>
      </c>
      <c r="CB10" s="6">
        <f t="shared" si="17"/>
        <v>-3.6942836063143472</v>
      </c>
      <c r="CC10" s="6">
        <f t="shared" si="22"/>
        <v>0.69260670998269913</v>
      </c>
      <c r="CF10" s="34">
        <f t="shared" ref="CF10:CF38" si="38">CF9+10</f>
        <v>30</v>
      </c>
      <c r="CG10" s="6">
        <f t="shared" si="34"/>
        <v>0.83910428141782467</v>
      </c>
      <c r="CT10" s="87"/>
      <c r="CU10" s="80" t="s">
        <v>285</v>
      </c>
      <c r="CV10" s="81">
        <f>COUNT(CU7:CU19)</f>
        <v>2</v>
      </c>
      <c r="CW10" s="114"/>
      <c r="CX10" s="89">
        <v>173</v>
      </c>
      <c r="CY10" s="33">
        <v>4</v>
      </c>
      <c r="CZ10" s="83">
        <f t="shared" si="23"/>
        <v>0.42</v>
      </c>
      <c r="DA10" s="88">
        <f t="shared" si="24"/>
        <v>0.58000000000000007</v>
      </c>
      <c r="DB10" s="6">
        <f t="shared" si="25"/>
        <v>-0.14213911274667057</v>
      </c>
      <c r="DC10" s="6">
        <f t="shared" si="26"/>
        <v>5.1532915944977793</v>
      </c>
      <c r="DD10" s="6">
        <f t="shared" si="27"/>
        <v>2.3809523809523809</v>
      </c>
      <c r="DE10" s="6">
        <f t="shared" si="28"/>
        <v>-0.14213911274667057</v>
      </c>
      <c r="DF10" s="6">
        <f t="shared" si="29"/>
        <v>5.1532915944977793</v>
      </c>
      <c r="DG10" s="6">
        <f t="shared" si="30"/>
        <v>26.556414257921464</v>
      </c>
      <c r="DH10" s="6">
        <f t="shared" si="31"/>
        <v>-0.73248429496678957</v>
      </c>
      <c r="DI10" s="6">
        <f t="shared" si="32"/>
        <v>0.3055401500838566</v>
      </c>
      <c r="DL10" s="34">
        <f t="shared" si="35"/>
        <v>30</v>
      </c>
      <c r="DM10" s="6">
        <f t="shared" si="36"/>
        <v>0.83910428141782467</v>
      </c>
    </row>
    <row r="11" spans="2:117" x14ac:dyDescent="0.25">
      <c r="B11" s="6">
        <f t="shared" si="18"/>
        <v>692</v>
      </c>
      <c r="C11" s="5">
        <v>40879</v>
      </c>
      <c r="D11" s="6" t="s">
        <v>347</v>
      </c>
      <c r="E11" s="33">
        <v>30</v>
      </c>
      <c r="F11" s="6">
        <f t="shared" si="19"/>
        <v>36</v>
      </c>
      <c r="G11" s="6">
        <v>36</v>
      </c>
      <c r="H11" s="6">
        <v>5</v>
      </c>
      <c r="J11" s="103"/>
      <c r="K11" s="103"/>
      <c r="L11" s="113"/>
      <c r="M11" s="113"/>
      <c r="N11" s="113"/>
      <c r="O11" s="113"/>
      <c r="P11" s="113"/>
      <c r="Q11" s="113"/>
      <c r="R11" s="113"/>
      <c r="S11" s="113"/>
      <c r="T11" s="113"/>
      <c r="U11" s="113"/>
      <c r="X11" s="102"/>
      <c r="Y11" s="104"/>
      <c r="AL11" s="84"/>
      <c r="AM11" s="11"/>
      <c r="AN11" s="87"/>
      <c r="AO11" s="93"/>
      <c r="AP11" s="44">
        <v>35</v>
      </c>
      <c r="AQ11" s="6">
        <v>5</v>
      </c>
      <c r="AR11" s="88">
        <f t="shared" si="1"/>
        <v>0.74657534246575341</v>
      </c>
      <c r="AS11" s="88">
        <f t="shared" si="2"/>
        <v>0.25342465753424659</v>
      </c>
      <c r="AT11" s="6">
        <f t="shared" si="3"/>
        <v>-1.2301157749566587</v>
      </c>
      <c r="AU11" s="6">
        <f t="shared" si="4"/>
        <v>3.5553480614894135</v>
      </c>
      <c r="AV11" s="6">
        <f t="shared" si="5"/>
        <v>1.3394495412844036</v>
      </c>
      <c r="AW11" s="6">
        <f t="shared" si="6"/>
        <v>-1.2301157749566587</v>
      </c>
      <c r="AX11" s="6">
        <f t="shared" si="7"/>
        <v>3.5553480614894135</v>
      </c>
      <c r="AY11" s="6">
        <f t="shared" si="8"/>
        <v>12.640499838336531</v>
      </c>
      <c r="AZ11" s="6">
        <f t="shared" si="9"/>
        <v>-4.373489735899704</v>
      </c>
      <c r="BA11" s="6">
        <f t="shared" si="20"/>
        <v>0.77606562352681674</v>
      </c>
      <c r="BD11" s="34">
        <f t="shared" si="37"/>
        <v>40</v>
      </c>
      <c r="BE11" s="6">
        <f t="shared" si="33"/>
        <v>0.74605539006928845</v>
      </c>
      <c r="BR11" s="89">
        <v>52</v>
      </c>
      <c r="BS11" s="6">
        <v>5</v>
      </c>
      <c r="BT11" s="83">
        <f t="shared" si="21"/>
        <v>0.58888888888888891</v>
      </c>
      <c r="BU11" s="88">
        <f t="shared" si="10"/>
        <v>0.41111111111111109</v>
      </c>
      <c r="BV11" s="6">
        <f t="shared" si="11"/>
        <v>-0.63578857951118939</v>
      </c>
      <c r="BW11" s="6">
        <f t="shared" si="12"/>
        <v>3.9512437185814275</v>
      </c>
      <c r="BX11" s="6">
        <f t="shared" si="13"/>
        <v>1.6981132075471697</v>
      </c>
      <c r="BY11" s="6">
        <f t="shared" si="14"/>
        <v>-0.63578857951118939</v>
      </c>
      <c r="BZ11" s="6">
        <f t="shared" si="15"/>
        <v>3.9512437185814275</v>
      </c>
      <c r="CA11" s="6">
        <f t="shared" si="16"/>
        <v>15.612326923629187</v>
      </c>
      <c r="CB11" s="6">
        <f t="shared" si="17"/>
        <v>-2.5121556311393958</v>
      </c>
      <c r="CC11" s="6">
        <f t="shared" si="22"/>
        <v>0.67791396786343305</v>
      </c>
      <c r="CF11" s="34">
        <f t="shared" si="38"/>
        <v>40</v>
      </c>
      <c r="CG11" s="6">
        <f t="shared" si="34"/>
        <v>0.76646815894239495</v>
      </c>
      <c r="CT11" s="87"/>
      <c r="CU11" s="87"/>
      <c r="CV11" s="87"/>
      <c r="CW11" s="93"/>
      <c r="CX11" s="89">
        <v>206</v>
      </c>
      <c r="CY11" s="33">
        <v>5</v>
      </c>
      <c r="CZ11" s="83">
        <f t="shared" si="23"/>
        <v>0.26</v>
      </c>
      <c r="DA11" s="88">
        <f t="shared" si="24"/>
        <v>0.74</v>
      </c>
      <c r="DB11" s="6">
        <f t="shared" si="25"/>
        <v>0.29793457148413716</v>
      </c>
      <c r="DC11" s="6">
        <f t="shared" si="26"/>
        <v>5.3278761687895813</v>
      </c>
      <c r="DD11" s="6">
        <f t="shared" si="27"/>
        <v>3.8461538461538458</v>
      </c>
      <c r="DE11" s="6">
        <f t="shared" si="28"/>
        <v>0.29793457148413716</v>
      </c>
      <c r="DF11" s="6">
        <f t="shared" si="29"/>
        <v>5.3278761687895813</v>
      </c>
      <c r="DG11" s="6">
        <f t="shared" si="30"/>
        <v>28.386264469955947</v>
      </c>
      <c r="DH11" s="6">
        <f t="shared" si="31"/>
        <v>1.5873585032688704</v>
      </c>
      <c r="DI11" s="6">
        <f t="shared" si="32"/>
        <v>0.27125881889167697</v>
      </c>
      <c r="DL11" s="34">
        <f t="shared" si="35"/>
        <v>40</v>
      </c>
      <c r="DM11" s="6">
        <f t="shared" si="36"/>
        <v>0.76646815894239495</v>
      </c>
    </row>
    <row r="12" spans="2:117" x14ac:dyDescent="0.25">
      <c r="B12" s="6">
        <f t="shared" si="18"/>
        <v>728</v>
      </c>
      <c r="C12" s="5">
        <v>40916</v>
      </c>
      <c r="D12" s="6" t="s">
        <v>347</v>
      </c>
      <c r="E12" s="33">
        <v>120</v>
      </c>
      <c r="F12" s="6">
        <f t="shared" si="19"/>
        <v>37</v>
      </c>
      <c r="G12" s="6">
        <v>37</v>
      </c>
      <c r="H12" s="6">
        <v>15</v>
      </c>
      <c r="J12" s="6">
        <v>15</v>
      </c>
      <c r="K12" s="6">
        <v>1</v>
      </c>
      <c r="L12" s="83">
        <f t="shared" ref="L12:L32" si="39">($L$34-K12+0.625)/($L$34+0.25)</f>
        <v>0.97058823529411764</v>
      </c>
      <c r="M12" s="88">
        <f>1-L12</f>
        <v>2.9411764705882359E-2</v>
      </c>
      <c r="N12" s="6">
        <f t="shared" ref="N12:N13" si="40">LN(LN(1/L12))</f>
        <v>-3.5114711760742496</v>
      </c>
      <c r="O12" s="6">
        <f t="shared" ref="O12:O13" si="41">LN(J12)</f>
        <v>2.7080502011022101</v>
      </c>
      <c r="P12" s="6">
        <f t="shared" ref="P12:P13" si="42">1/L12</f>
        <v>1.0303030303030303</v>
      </c>
      <c r="Q12" s="6">
        <f t="shared" ref="Q12:Q13" si="43">LN(LN(P12))</f>
        <v>-3.5114711760742496</v>
      </c>
      <c r="R12" s="6">
        <f t="shared" ref="R12:R13" si="44">LN(J12)</f>
        <v>2.7080502011022101</v>
      </c>
      <c r="S12" s="6">
        <f t="shared" ref="S12:S13" si="45">R12*R12</f>
        <v>7.3335358916897206</v>
      </c>
      <c r="T12" s="6">
        <f t="shared" ref="T12:T13" si="46">R12*Q12</f>
        <v>-9.5092402245324852</v>
      </c>
      <c r="U12" s="6">
        <f>EXP(-((J12/$K$63)^$K$64))</f>
        <v>0.91514005802704645</v>
      </c>
      <c r="X12" s="102"/>
      <c r="Y12" s="104"/>
      <c r="AL12" s="84"/>
      <c r="AM12" s="11"/>
      <c r="AN12" s="87"/>
      <c r="AO12" s="93"/>
      <c r="AP12" s="44">
        <v>43</v>
      </c>
      <c r="AQ12" s="6">
        <v>6</v>
      </c>
      <c r="AR12" s="88">
        <f t="shared" si="1"/>
        <v>0.69178082191780821</v>
      </c>
      <c r="AS12" s="88">
        <f t="shared" si="2"/>
        <v>0.30821917808219179</v>
      </c>
      <c r="AT12" s="6">
        <f t="shared" si="3"/>
        <v>-0.99835227534434268</v>
      </c>
      <c r="AU12" s="6">
        <f t="shared" si="4"/>
        <v>3.7612001156935624</v>
      </c>
      <c r="AV12" s="6">
        <f t="shared" si="5"/>
        <v>1.4455445544554455</v>
      </c>
      <c r="AW12" s="6">
        <f t="shared" si="6"/>
        <v>-0.99835227534434268</v>
      </c>
      <c r="AX12" s="6">
        <f t="shared" si="7"/>
        <v>3.7612001156935624</v>
      </c>
      <c r="AY12" s="6">
        <f t="shared" si="8"/>
        <v>14.146626310293268</v>
      </c>
      <c r="AZ12" s="6">
        <f t="shared" si="9"/>
        <v>-3.7550026935280729</v>
      </c>
      <c r="BA12" s="6">
        <f t="shared" si="20"/>
        <v>0.72846326515184601</v>
      </c>
      <c r="BD12" s="34">
        <f t="shared" si="37"/>
        <v>50</v>
      </c>
      <c r="BE12" s="6">
        <f t="shared" si="33"/>
        <v>0.68865057660318607</v>
      </c>
      <c r="BR12" s="44">
        <v>64</v>
      </c>
      <c r="BS12" s="6">
        <v>6</v>
      </c>
      <c r="BT12" s="83">
        <f t="shared" si="21"/>
        <v>0.5</v>
      </c>
      <c r="BU12" s="88">
        <f t="shared" si="10"/>
        <v>0.5</v>
      </c>
      <c r="BV12" s="6">
        <f t="shared" si="11"/>
        <v>-0.36651292058166435</v>
      </c>
      <c r="BW12" s="6">
        <f t="shared" si="12"/>
        <v>4.1588830833596715</v>
      </c>
      <c r="BX12" s="6">
        <f t="shared" si="13"/>
        <v>2</v>
      </c>
      <c r="BY12" s="6">
        <f t="shared" si="14"/>
        <v>-0.36651292058166435</v>
      </c>
      <c r="BZ12" s="6">
        <f t="shared" si="15"/>
        <v>4.1588830833596715</v>
      </c>
      <c r="CA12" s="6">
        <f t="shared" si="16"/>
        <v>17.296308501055247</v>
      </c>
      <c r="CB12" s="6">
        <f t="shared" si="17"/>
        <v>-1.5242843852398307</v>
      </c>
      <c r="CC12" s="6">
        <f t="shared" si="22"/>
        <v>0.59159374573073997</v>
      </c>
      <c r="CF12" s="34">
        <f t="shared" si="38"/>
        <v>50</v>
      </c>
      <c r="CG12" s="6">
        <f t="shared" si="34"/>
        <v>0.69260670998269913</v>
      </c>
      <c r="CT12" s="87"/>
      <c r="CU12" s="87"/>
      <c r="CV12" s="87"/>
      <c r="CW12" s="93"/>
      <c r="CX12" s="89">
        <v>460</v>
      </c>
      <c r="CY12" s="33">
        <v>6</v>
      </c>
      <c r="CZ12" s="83">
        <f t="shared" si="23"/>
        <v>0.1</v>
      </c>
      <c r="DA12" s="88">
        <f t="shared" si="24"/>
        <v>0.9</v>
      </c>
      <c r="DB12" s="6">
        <f t="shared" si="25"/>
        <v>0.83403244524795594</v>
      </c>
      <c r="DC12" s="6">
        <f t="shared" si="26"/>
        <v>6.131226489483141</v>
      </c>
      <c r="DD12" s="6">
        <f t="shared" si="27"/>
        <v>10</v>
      </c>
      <c r="DE12" s="6">
        <f t="shared" si="28"/>
        <v>0.83403244524795594</v>
      </c>
      <c r="DF12" s="6">
        <f t="shared" si="29"/>
        <v>6.131226489483141</v>
      </c>
      <c r="DG12" s="6">
        <f t="shared" si="30"/>
        <v>37.591938265339763</v>
      </c>
      <c r="DH12" s="6">
        <f t="shared" si="31"/>
        <v>5.1136418213926653</v>
      </c>
      <c r="DI12" s="6">
        <f t="shared" si="32"/>
        <v>0.13185692145212399</v>
      </c>
      <c r="DL12" s="34">
        <f t="shared" si="35"/>
        <v>50</v>
      </c>
      <c r="DM12" s="6">
        <f t="shared" si="36"/>
        <v>0.69260670998269913</v>
      </c>
    </row>
    <row r="13" spans="2:117" x14ac:dyDescent="0.25">
      <c r="B13" s="6">
        <f t="shared" si="18"/>
        <v>756</v>
      </c>
      <c r="C13" s="5">
        <v>40945</v>
      </c>
      <c r="D13" s="30" t="s">
        <v>347</v>
      </c>
      <c r="E13" s="33">
        <v>150</v>
      </c>
      <c r="F13" s="6">
        <f t="shared" si="19"/>
        <v>29</v>
      </c>
      <c r="G13" s="6">
        <v>29</v>
      </c>
      <c r="H13" s="6">
        <v>19</v>
      </c>
      <c r="J13" s="6">
        <v>19</v>
      </c>
      <c r="K13" s="6">
        <v>2</v>
      </c>
      <c r="L13" s="83">
        <f t="shared" si="39"/>
        <v>0.92352941176470593</v>
      </c>
      <c r="M13" s="88">
        <f t="shared" ref="M13:M32" si="47">1-L13</f>
        <v>7.6470588235294068E-2</v>
      </c>
      <c r="N13" s="6">
        <f t="shared" si="40"/>
        <v>-2.5313364423828393</v>
      </c>
      <c r="O13" s="6">
        <f t="shared" si="41"/>
        <v>2.9444389791664403</v>
      </c>
      <c r="P13" s="6">
        <f t="shared" si="42"/>
        <v>1.0828025477707006</v>
      </c>
      <c r="Q13" s="6">
        <f t="shared" si="43"/>
        <v>-2.5313364423828393</v>
      </c>
      <c r="R13" s="6">
        <f t="shared" si="44"/>
        <v>2.9444389791664403</v>
      </c>
      <c r="S13" s="6">
        <f t="shared" si="45"/>
        <v>8.6697209020347081</v>
      </c>
      <c r="T13" s="6">
        <f t="shared" si="46"/>
        <v>-7.4533656903365362</v>
      </c>
      <c r="U13" s="6">
        <f t="shared" ref="U13:U32" si="48">EXP(-((J13/$K$63)^$K$64))</f>
        <v>0.88391430864013698</v>
      </c>
      <c r="X13" s="30">
        <v>0</v>
      </c>
      <c r="Y13" s="6">
        <f>EXP(-((X13/$K$63)^$K$64))</f>
        <v>1</v>
      </c>
      <c r="AP13" s="89">
        <v>52</v>
      </c>
      <c r="AQ13" s="6">
        <v>7</v>
      </c>
      <c r="AR13" s="88">
        <f t="shared" si="1"/>
        <v>0.63698630136986301</v>
      </c>
      <c r="AS13" s="88">
        <f t="shared" si="2"/>
        <v>0.36301369863013699</v>
      </c>
      <c r="AT13" s="6">
        <f t="shared" si="3"/>
        <v>-0.79627213349554804</v>
      </c>
      <c r="AU13" s="6">
        <f t="shared" si="4"/>
        <v>3.9512437185814275</v>
      </c>
      <c r="AV13" s="6">
        <f t="shared" si="5"/>
        <v>1.5698924731182795</v>
      </c>
      <c r="AW13" s="6">
        <f t="shared" si="6"/>
        <v>-0.79627213349554804</v>
      </c>
      <c r="AX13" s="6">
        <f t="shared" si="7"/>
        <v>3.9512437185814275</v>
      </c>
      <c r="AY13" s="6">
        <f t="shared" si="8"/>
        <v>15.612326923629187</v>
      </c>
      <c r="AZ13" s="6">
        <f t="shared" si="9"/>
        <v>-3.1462652657557162</v>
      </c>
      <c r="BA13" s="6">
        <f t="shared" si="20"/>
        <v>0.67759624177552769</v>
      </c>
      <c r="BD13" s="34">
        <f t="shared" si="37"/>
        <v>60</v>
      </c>
      <c r="BE13" s="6">
        <f t="shared" si="33"/>
        <v>0.63480814653964035</v>
      </c>
      <c r="BR13" s="89">
        <v>76</v>
      </c>
      <c r="BS13" s="6">
        <v>7</v>
      </c>
      <c r="BT13" s="83">
        <f t="shared" si="21"/>
        <v>0.41111111111111109</v>
      </c>
      <c r="BU13" s="88">
        <f t="shared" si="10"/>
        <v>0.58888888888888891</v>
      </c>
      <c r="BV13" s="6">
        <f t="shared" si="11"/>
        <v>-0.11777980826479573</v>
      </c>
      <c r="BW13" s="6">
        <f t="shared" si="12"/>
        <v>4.3307333402863311</v>
      </c>
      <c r="BX13" s="6">
        <f t="shared" si="13"/>
        <v>2.4324324324324325</v>
      </c>
      <c r="BY13" s="6">
        <f t="shared" si="14"/>
        <v>-0.11777980826479573</v>
      </c>
      <c r="BZ13" s="6">
        <f t="shared" si="15"/>
        <v>4.3307333402863311</v>
      </c>
      <c r="CA13" s="6">
        <f t="shared" si="16"/>
        <v>18.755251264667603</v>
      </c>
      <c r="CB13" s="6">
        <f t="shared" si="17"/>
        <v>-0.51007294246488244</v>
      </c>
      <c r="CC13" s="6">
        <f t="shared" si="22"/>
        <v>0.51013013067338331</v>
      </c>
      <c r="CF13" s="34">
        <f t="shared" si="38"/>
        <v>60</v>
      </c>
      <c r="CG13" s="6">
        <f t="shared" si="34"/>
        <v>0.61993308320479945</v>
      </c>
      <c r="CT13" s="87"/>
      <c r="CU13" s="87"/>
      <c r="CV13" s="87"/>
      <c r="CW13" s="93"/>
      <c r="DL13" s="34">
        <f t="shared" si="35"/>
        <v>60</v>
      </c>
      <c r="DM13" s="6">
        <f t="shared" si="36"/>
        <v>0.61993308320479945</v>
      </c>
    </row>
    <row r="14" spans="2:117" x14ac:dyDescent="0.25">
      <c r="B14" s="6">
        <f t="shared" si="18"/>
        <v>795</v>
      </c>
      <c r="C14" s="5">
        <v>40983</v>
      </c>
      <c r="D14" s="30" t="s">
        <v>347</v>
      </c>
      <c r="E14" s="33">
        <v>30</v>
      </c>
      <c r="F14" s="6">
        <f t="shared" si="19"/>
        <v>38</v>
      </c>
      <c r="G14" s="6">
        <v>38</v>
      </c>
      <c r="H14" s="6">
        <v>25</v>
      </c>
      <c r="J14" s="6">
        <v>25</v>
      </c>
      <c r="K14" s="6">
        <v>3</v>
      </c>
      <c r="L14" s="83">
        <f t="shared" si="39"/>
        <v>0.87647058823529411</v>
      </c>
      <c r="M14" s="88">
        <f t="shared" si="47"/>
        <v>0.12352941176470589</v>
      </c>
      <c r="N14" s="6">
        <f>LN(LN(1/L14))</f>
        <v>-2.0260742032129504</v>
      </c>
      <c r="O14" s="6">
        <f>LN(J14)</f>
        <v>3.2188758248682006</v>
      </c>
      <c r="P14" s="6">
        <f>1/L14</f>
        <v>1.1409395973154361</v>
      </c>
      <c r="Q14" s="6">
        <f>LN(LN(P14))</f>
        <v>-2.0260742032129504</v>
      </c>
      <c r="R14" s="6">
        <f>LN(J14)</f>
        <v>3.2188758248682006</v>
      </c>
      <c r="S14" s="6">
        <f>R14*R14</f>
        <v>10.361161575920939</v>
      </c>
      <c r="T14" s="6">
        <f>R14*Q14</f>
        <v>-6.5216812721112678</v>
      </c>
      <c r="U14" s="6">
        <f t="shared" si="48"/>
        <v>0.83436748859555132</v>
      </c>
      <c r="X14" s="34">
        <v>10</v>
      </c>
      <c r="Y14" s="6">
        <f t="shared" ref="Y14:Y44" si="49">EXP(-((X14/$K$63)^$K$64))</f>
        <v>0.95092839570173326</v>
      </c>
      <c r="AP14" s="44">
        <v>86</v>
      </c>
      <c r="AQ14" s="6">
        <v>8</v>
      </c>
      <c r="AR14" s="88">
        <f t="shared" si="1"/>
        <v>0.5821917808219178</v>
      </c>
      <c r="AS14" s="88">
        <f t="shared" si="2"/>
        <v>0.4178082191780822</v>
      </c>
      <c r="AT14" s="6">
        <f t="shared" si="3"/>
        <v>-0.61441850775739337</v>
      </c>
      <c r="AU14" s="6">
        <f t="shared" si="4"/>
        <v>4.4543472962535073</v>
      </c>
      <c r="AV14" s="6">
        <f t="shared" si="5"/>
        <v>1.7176470588235295</v>
      </c>
      <c r="AW14" s="6">
        <f t="shared" si="6"/>
        <v>-0.61441850775739337</v>
      </c>
      <c r="AX14" s="6">
        <f t="shared" si="7"/>
        <v>4.4543472962535073</v>
      </c>
      <c r="AY14" s="6">
        <f t="shared" si="8"/>
        <v>19.841209835640932</v>
      </c>
      <c r="AZ14" s="6">
        <f t="shared" si="9"/>
        <v>-2.7368334187972598</v>
      </c>
      <c r="BA14" s="6">
        <f t="shared" si="20"/>
        <v>0.51116855465563615</v>
      </c>
      <c r="BD14" s="34">
        <f t="shared" si="37"/>
        <v>70</v>
      </c>
      <c r="BE14" s="6">
        <f t="shared" si="33"/>
        <v>0.58451098524296863</v>
      </c>
      <c r="BR14" s="89">
        <v>99</v>
      </c>
      <c r="BS14" s="6">
        <v>8</v>
      </c>
      <c r="BT14" s="83">
        <f t="shared" si="21"/>
        <v>0.32222222222222224</v>
      </c>
      <c r="BU14" s="88">
        <f t="shared" si="10"/>
        <v>0.67777777777777781</v>
      </c>
      <c r="BV14" s="6">
        <f t="shared" si="11"/>
        <v>0.12443979935449574</v>
      </c>
      <c r="BW14" s="6">
        <f t="shared" si="12"/>
        <v>4.5951198501345898</v>
      </c>
      <c r="BX14" s="6">
        <f t="shared" si="13"/>
        <v>3.103448275862069</v>
      </c>
      <c r="BY14" s="6">
        <f t="shared" si="14"/>
        <v>0.12443979935449574</v>
      </c>
      <c r="BZ14" s="6">
        <f t="shared" si="15"/>
        <v>4.5951198501345898</v>
      </c>
      <c r="CA14" s="6">
        <f t="shared" si="16"/>
        <v>21.115126437100933</v>
      </c>
      <c r="CB14" s="6">
        <f t="shared" si="17"/>
        <v>0.57181579216060885</v>
      </c>
      <c r="CC14" s="6">
        <f t="shared" si="22"/>
        <v>0.37281180205385422</v>
      </c>
      <c r="CF14" s="34">
        <f t="shared" si="38"/>
        <v>70</v>
      </c>
      <c r="CG14" s="6">
        <f t="shared" si="34"/>
        <v>0.55013412450130783</v>
      </c>
      <c r="CT14" s="87"/>
      <c r="CU14" s="87"/>
      <c r="CV14" s="87"/>
      <c r="CW14" s="93"/>
      <c r="CY14" s="80" t="s">
        <v>285</v>
      </c>
      <c r="CZ14" s="81">
        <f>COUNT(CY7:CY12)</f>
        <v>6</v>
      </c>
      <c r="DA14" s="114"/>
      <c r="DB14" s="114"/>
      <c r="DD14" s="80" t="s">
        <v>325</v>
      </c>
      <c r="DE14" s="117">
        <f>SUM(DE7:DE12)</f>
        <v>-3.0683055582143735</v>
      </c>
      <c r="DF14" s="117">
        <f>SUM(DF7:DF12)</f>
        <v>23.454009729248092</v>
      </c>
      <c r="DG14" s="117">
        <f>SUM(DG7:DG12)</f>
        <v>109.57061403542154</v>
      </c>
      <c r="DH14" s="117">
        <f>SUM(DH7:DH12)</f>
        <v>-2.193439108633795</v>
      </c>
      <c r="DI14" s="114"/>
      <c r="DL14" s="34">
        <f t="shared" si="35"/>
        <v>70</v>
      </c>
      <c r="DM14" s="6">
        <f t="shared" si="36"/>
        <v>0.55013412450130783</v>
      </c>
    </row>
    <row r="15" spans="2:117" x14ac:dyDescent="0.25">
      <c r="B15" s="6">
        <f t="shared" ref="B15:B24" si="50">DAYS360("31-12-2009",C15)</f>
        <v>1103</v>
      </c>
      <c r="C15" s="5">
        <v>41297</v>
      </c>
      <c r="D15" s="6" t="s">
        <v>347</v>
      </c>
      <c r="E15" s="33">
        <v>30</v>
      </c>
      <c r="F15" s="6">
        <f t="shared" si="19"/>
        <v>314</v>
      </c>
      <c r="G15" s="6">
        <v>314</v>
      </c>
      <c r="H15" s="6">
        <v>29</v>
      </c>
      <c r="J15" s="6">
        <v>29</v>
      </c>
      <c r="K15" s="6">
        <v>4</v>
      </c>
      <c r="L15" s="83">
        <f t="shared" si="39"/>
        <v>0.8294117647058824</v>
      </c>
      <c r="M15" s="88">
        <f t="shared" si="47"/>
        <v>0.1705882352941176</v>
      </c>
      <c r="N15" s="6">
        <f t="shared" ref="N15:N32" si="51">LN(LN(1/L15))</f>
        <v>-1.6764405514334901</v>
      </c>
      <c r="O15" s="6">
        <f t="shared" ref="O15:O32" si="52">LN(J15)</f>
        <v>3.3672958299864741</v>
      </c>
      <c r="P15" s="6">
        <f t="shared" ref="P15:P32" si="53">1/L15</f>
        <v>1.2056737588652482</v>
      </c>
      <c r="Q15" s="6">
        <f t="shared" ref="Q15:Q32" si="54">LN(LN(P15))</f>
        <v>-1.6764405514334901</v>
      </c>
      <c r="R15" s="6">
        <f t="shared" ref="R15:R32" si="55">LN(J15)</f>
        <v>3.3672958299864741</v>
      </c>
      <c r="S15" s="6">
        <f t="shared" ref="S15:S32" si="56">R15*R15</f>
        <v>11.338681206644297</v>
      </c>
      <c r="T15" s="6">
        <f t="shared" ref="T15:T32" si="57">R15*Q15</f>
        <v>-5.6450712780622165</v>
      </c>
      <c r="U15" s="6">
        <f t="shared" si="48"/>
        <v>0.80025626641301206</v>
      </c>
      <c r="X15" s="34">
        <f>X14+10</f>
        <v>20</v>
      </c>
      <c r="Y15" s="6">
        <f t="shared" si="49"/>
        <v>0.87584523994633634</v>
      </c>
      <c r="AP15" s="44">
        <v>111</v>
      </c>
      <c r="AQ15" s="6">
        <v>9</v>
      </c>
      <c r="AR15" s="88">
        <f t="shared" si="1"/>
        <v>0.5273972602739726</v>
      </c>
      <c r="AS15" s="88">
        <f t="shared" si="2"/>
        <v>0.4726027397260274</v>
      </c>
      <c r="AT15" s="6">
        <f t="shared" si="3"/>
        <v>-0.44659777610953361</v>
      </c>
      <c r="AU15" s="6">
        <f t="shared" si="4"/>
        <v>4.7095302013123339</v>
      </c>
      <c r="AV15" s="6">
        <f t="shared" si="5"/>
        <v>1.8961038961038961</v>
      </c>
      <c r="AW15" s="6">
        <f t="shared" si="6"/>
        <v>-0.44659777610953361</v>
      </c>
      <c r="AX15" s="6">
        <f t="shared" si="7"/>
        <v>4.7095302013123339</v>
      </c>
      <c r="AY15" s="6">
        <f t="shared" si="8"/>
        <v>22.179674717072992</v>
      </c>
      <c r="AZ15" s="6">
        <f t="shared" si="9"/>
        <v>-2.1032657144267723</v>
      </c>
      <c r="BA15" s="6">
        <f t="shared" si="20"/>
        <v>0.41287075832782971</v>
      </c>
      <c r="BD15" s="34">
        <f t="shared" si="37"/>
        <v>80</v>
      </c>
      <c r="BE15" s="6">
        <f t="shared" si="33"/>
        <v>0.5376689991051341</v>
      </c>
      <c r="BR15" s="44">
        <v>125</v>
      </c>
      <c r="BS15" s="6">
        <v>9</v>
      </c>
      <c r="BT15" s="83">
        <f t="shared" si="21"/>
        <v>0.23333333333333334</v>
      </c>
      <c r="BU15" s="88">
        <f t="shared" si="10"/>
        <v>0.76666666666666661</v>
      </c>
      <c r="BV15" s="6">
        <f t="shared" si="11"/>
        <v>0.37520329186687434</v>
      </c>
      <c r="BW15" s="6">
        <f t="shared" si="12"/>
        <v>4.8283137373023015</v>
      </c>
      <c r="BX15" s="6">
        <f t="shared" si="13"/>
        <v>4.2857142857142856</v>
      </c>
      <c r="BY15" s="6">
        <f t="shared" si="14"/>
        <v>0.37520329186687434</v>
      </c>
      <c r="BZ15" s="6">
        <f t="shared" si="15"/>
        <v>4.8283137373023015</v>
      </c>
      <c r="CA15" s="6">
        <f t="shared" si="16"/>
        <v>23.312613545822117</v>
      </c>
      <c r="CB15" s="6">
        <f t="shared" si="17"/>
        <v>1.8115992084018744</v>
      </c>
      <c r="CC15" s="6">
        <f t="shared" si="22"/>
        <v>0.25093527114273734</v>
      </c>
      <c r="CF15" s="34">
        <f t="shared" si="38"/>
        <v>80</v>
      </c>
      <c r="CG15" s="6">
        <f t="shared" si="34"/>
        <v>0.4843565568202769</v>
      </c>
      <c r="CT15" s="87"/>
      <c r="CU15" s="87"/>
      <c r="CV15" s="87"/>
      <c r="CW15" s="93"/>
      <c r="DL15" s="34">
        <f t="shared" si="35"/>
        <v>80</v>
      </c>
      <c r="DM15" s="6">
        <f t="shared" si="36"/>
        <v>0.4843565568202769</v>
      </c>
    </row>
    <row r="16" spans="2:117" x14ac:dyDescent="0.25">
      <c r="B16" s="6">
        <f t="shared" si="50"/>
        <v>1153</v>
      </c>
      <c r="C16" s="5">
        <v>41346</v>
      </c>
      <c r="D16" s="6" t="s">
        <v>347</v>
      </c>
      <c r="E16" s="33">
        <v>120</v>
      </c>
      <c r="F16" s="6">
        <f t="shared" si="19"/>
        <v>49</v>
      </c>
      <c r="G16" s="6">
        <v>49</v>
      </c>
      <c r="H16" s="6">
        <v>29</v>
      </c>
      <c r="J16" s="6">
        <v>29</v>
      </c>
      <c r="K16" s="6">
        <v>5</v>
      </c>
      <c r="L16" s="83">
        <f t="shared" si="39"/>
        <v>0.78235294117647058</v>
      </c>
      <c r="M16" s="88">
        <f t="shared" si="47"/>
        <v>0.21764705882352942</v>
      </c>
      <c r="N16" s="6">
        <f t="shared" si="51"/>
        <v>-1.4046648344180435</v>
      </c>
      <c r="O16" s="6">
        <f t="shared" si="52"/>
        <v>3.3672958299864741</v>
      </c>
      <c r="P16" s="6">
        <f t="shared" si="53"/>
        <v>1.2781954887218046</v>
      </c>
      <c r="Q16" s="6">
        <f t="shared" si="54"/>
        <v>-1.4046648344180435</v>
      </c>
      <c r="R16" s="6">
        <f t="shared" si="55"/>
        <v>3.3672958299864741</v>
      </c>
      <c r="S16" s="6">
        <f t="shared" si="56"/>
        <v>11.338681206644297</v>
      </c>
      <c r="T16" s="6">
        <f t="shared" si="57"/>
        <v>-4.7299220394645189</v>
      </c>
      <c r="U16" s="6">
        <f t="shared" si="48"/>
        <v>0.80025626641301206</v>
      </c>
      <c r="X16" s="34">
        <f t="shared" ref="X16:X44" si="58">X15+10</f>
        <v>30</v>
      </c>
      <c r="Y16" s="6">
        <f t="shared" si="49"/>
        <v>0.7916507392829053</v>
      </c>
      <c r="AP16" s="44">
        <v>114</v>
      </c>
      <c r="AQ16" s="6">
        <v>10</v>
      </c>
      <c r="AR16" s="88">
        <f t="shared" si="1"/>
        <v>0.4726027397260274</v>
      </c>
      <c r="AS16" s="88">
        <f t="shared" si="2"/>
        <v>0.5273972602739726</v>
      </c>
      <c r="AT16" s="6">
        <f t="shared" si="3"/>
        <v>-0.28834880518722589</v>
      </c>
      <c r="AU16" s="6">
        <f t="shared" si="4"/>
        <v>4.7361984483944957</v>
      </c>
      <c r="AV16" s="6">
        <f t="shared" si="5"/>
        <v>2.1159420289855073</v>
      </c>
      <c r="AW16" s="6">
        <f t="shared" si="6"/>
        <v>-0.28834880518722589</v>
      </c>
      <c r="AX16" s="6">
        <f t="shared" si="7"/>
        <v>4.7361984483944957</v>
      </c>
      <c r="AY16" s="6">
        <f t="shared" si="8"/>
        <v>22.431575742574427</v>
      </c>
      <c r="AZ16" s="6">
        <f t="shared" si="9"/>
        <v>-1.365677163724146</v>
      </c>
      <c r="BA16" s="6">
        <f t="shared" si="20"/>
        <v>0.40230805578499307</v>
      </c>
      <c r="BD16" s="34">
        <f t="shared" si="37"/>
        <v>90</v>
      </c>
      <c r="BE16" s="6">
        <f t="shared" si="33"/>
        <v>0.49415027214625135</v>
      </c>
      <c r="BR16" s="44">
        <v>168</v>
      </c>
      <c r="BS16" s="6">
        <v>10</v>
      </c>
      <c r="BT16" s="83">
        <f t="shared" si="21"/>
        <v>0.14444444444444443</v>
      </c>
      <c r="BU16" s="88">
        <f t="shared" si="10"/>
        <v>0.85555555555555562</v>
      </c>
      <c r="BV16" s="6">
        <f t="shared" si="11"/>
        <v>0.6600351341440176</v>
      </c>
      <c r="BW16" s="6">
        <f t="shared" si="12"/>
        <v>5.1239639794032588</v>
      </c>
      <c r="BX16" s="6">
        <f t="shared" si="13"/>
        <v>6.9230769230769234</v>
      </c>
      <c r="BY16" s="6">
        <f t="shared" si="14"/>
        <v>0.6600351341440176</v>
      </c>
      <c r="BZ16" s="6">
        <f t="shared" si="15"/>
        <v>5.1239639794032588</v>
      </c>
      <c r="CA16" s="6">
        <f t="shared" si="16"/>
        <v>26.255006862222078</v>
      </c>
      <c r="CB16" s="6">
        <f t="shared" si="17"/>
        <v>3.3819962524945439</v>
      </c>
      <c r="CC16" s="6">
        <f t="shared" si="22"/>
        <v>0.11997639129332045</v>
      </c>
      <c r="CF16" s="34">
        <f t="shared" si="38"/>
        <v>90</v>
      </c>
      <c r="CG16" s="6">
        <f t="shared" si="34"/>
        <v>0.42333075560609257</v>
      </c>
      <c r="CT16" s="87"/>
      <c r="CU16" s="87"/>
      <c r="CV16" s="87"/>
      <c r="CW16" s="93"/>
      <c r="CX16" t="s">
        <v>294</v>
      </c>
      <c r="DL16" s="34">
        <f t="shared" si="35"/>
        <v>90</v>
      </c>
      <c r="DM16" s="6">
        <f t="shared" si="36"/>
        <v>0.42333075560609257</v>
      </c>
    </row>
    <row r="17" spans="2:117" x14ac:dyDescent="0.25">
      <c r="B17" s="6">
        <f t="shared" si="50"/>
        <v>1168</v>
      </c>
      <c r="C17" s="5">
        <v>41361</v>
      </c>
      <c r="D17" s="6" t="s">
        <v>347</v>
      </c>
      <c r="E17" s="33">
        <v>60</v>
      </c>
      <c r="F17" s="6">
        <f t="shared" si="19"/>
        <v>15</v>
      </c>
      <c r="G17" s="6">
        <v>15</v>
      </c>
      <c r="H17" s="6">
        <v>31</v>
      </c>
      <c r="J17" s="6">
        <v>31</v>
      </c>
      <c r="K17" s="6">
        <v>6</v>
      </c>
      <c r="L17" s="83">
        <f t="shared" si="39"/>
        <v>0.73529411764705888</v>
      </c>
      <c r="M17" s="88">
        <f t="shared" si="47"/>
        <v>0.26470588235294112</v>
      </c>
      <c r="N17" s="6">
        <f t="shared" si="51"/>
        <v>-1.1793299498906824</v>
      </c>
      <c r="O17" s="6">
        <f t="shared" si="52"/>
        <v>3.4339872044851463</v>
      </c>
      <c r="P17" s="6">
        <f t="shared" si="53"/>
        <v>1.3599999999999999</v>
      </c>
      <c r="Q17" s="6">
        <f t="shared" si="54"/>
        <v>-1.1793299498906824</v>
      </c>
      <c r="R17" s="6">
        <f t="shared" si="55"/>
        <v>3.4339872044851463</v>
      </c>
      <c r="S17" s="6">
        <f t="shared" si="56"/>
        <v>11.79226812056771</v>
      </c>
      <c r="T17" s="6">
        <f t="shared" si="57"/>
        <v>-4.0498039577907123</v>
      </c>
      <c r="U17" s="6">
        <f t="shared" si="48"/>
        <v>0.78302477749984711</v>
      </c>
      <c r="X17" s="34">
        <f t="shared" si="58"/>
        <v>40</v>
      </c>
      <c r="Y17" s="6">
        <f t="shared" si="49"/>
        <v>0.70520744392564294</v>
      </c>
      <c r="AP17" s="89">
        <v>117</v>
      </c>
      <c r="AQ17" s="6">
        <v>11</v>
      </c>
      <c r="AR17" s="88">
        <f t="shared" si="1"/>
        <v>0.4178082191780822</v>
      </c>
      <c r="AS17" s="88">
        <f t="shared" si="2"/>
        <v>0.5821917808219178</v>
      </c>
      <c r="AT17" s="6">
        <f t="shared" si="3"/>
        <v>-0.13612588966877875</v>
      </c>
      <c r="AU17" s="6">
        <f t="shared" si="4"/>
        <v>4.7621739347977563</v>
      </c>
      <c r="AV17" s="6">
        <f t="shared" si="5"/>
        <v>2.3934426229508197</v>
      </c>
      <c r="AW17" s="6">
        <f t="shared" si="6"/>
        <v>-0.13612588966877875</v>
      </c>
      <c r="AX17" s="6">
        <f t="shared" si="7"/>
        <v>4.7621739347977563</v>
      </c>
      <c r="AY17" s="6">
        <f t="shared" si="8"/>
        <v>22.678300585267145</v>
      </c>
      <c r="AZ17" s="6">
        <f t="shared" si="9"/>
        <v>-0.64825516363181335</v>
      </c>
      <c r="BA17" s="6">
        <f t="shared" si="20"/>
        <v>0.39199342720794284</v>
      </c>
      <c r="BD17" s="34">
        <f t="shared" si="37"/>
        <v>100</v>
      </c>
      <c r="BE17" s="6">
        <f t="shared" si="33"/>
        <v>0.45379917835656719</v>
      </c>
      <c r="BR17" s="44">
        <v>265</v>
      </c>
      <c r="BS17" s="6">
        <v>11</v>
      </c>
      <c r="BT17" s="83">
        <f t="shared" si="21"/>
        <v>5.5555555555555552E-2</v>
      </c>
      <c r="BU17" s="88">
        <f t="shared" si="10"/>
        <v>0.94444444444444442</v>
      </c>
      <c r="BV17" s="6">
        <f t="shared" si="11"/>
        <v>1.0613851298016763</v>
      </c>
      <c r="BW17" s="6">
        <f t="shared" si="12"/>
        <v>5.579729825986222</v>
      </c>
      <c r="BX17" s="6">
        <f t="shared" si="13"/>
        <v>18</v>
      </c>
      <c r="BY17" s="6">
        <f t="shared" si="14"/>
        <v>1.0613851298016763</v>
      </c>
      <c r="BZ17" s="6">
        <f t="shared" si="15"/>
        <v>5.579729825986222</v>
      </c>
      <c r="CA17" s="6">
        <f t="shared" si="16"/>
        <v>31.133384931000236</v>
      </c>
      <c r="CB17" s="6">
        <f t="shared" si="17"/>
        <v>5.9222422656126712</v>
      </c>
      <c r="CC17" s="6">
        <f t="shared" si="22"/>
        <v>1.6574700482922911E-2</v>
      </c>
      <c r="CF17" s="34">
        <f t="shared" si="38"/>
        <v>100</v>
      </c>
      <c r="CG17" s="6">
        <f t="shared" si="34"/>
        <v>0.36746331161032098</v>
      </c>
      <c r="CT17" s="87"/>
      <c r="CU17" s="87"/>
      <c r="CV17" s="87"/>
      <c r="CW17" s="93"/>
      <c r="DL17" s="34">
        <f t="shared" si="35"/>
        <v>100</v>
      </c>
      <c r="DM17" s="6">
        <f t="shared" si="36"/>
        <v>0.36746331161032098</v>
      </c>
    </row>
    <row r="18" spans="2:117" x14ac:dyDescent="0.25">
      <c r="B18" s="6">
        <f t="shared" si="50"/>
        <v>1171</v>
      </c>
      <c r="C18" s="5">
        <v>41365</v>
      </c>
      <c r="D18" s="6" t="s">
        <v>347</v>
      </c>
      <c r="E18" s="33">
        <v>60</v>
      </c>
      <c r="F18" s="6">
        <f t="shared" si="19"/>
        <v>4</v>
      </c>
      <c r="G18" s="6">
        <v>4</v>
      </c>
      <c r="H18" s="6">
        <v>36</v>
      </c>
      <c r="J18" s="6">
        <v>36</v>
      </c>
      <c r="K18" s="6">
        <v>7</v>
      </c>
      <c r="L18" s="83">
        <f t="shared" si="39"/>
        <v>0.68823529411764706</v>
      </c>
      <c r="M18" s="88">
        <f t="shared" si="47"/>
        <v>0.31176470588235294</v>
      </c>
      <c r="N18" s="6">
        <f t="shared" si="51"/>
        <v>-0.98450399059034954</v>
      </c>
      <c r="O18" s="6">
        <f t="shared" si="52"/>
        <v>3.5835189384561099</v>
      </c>
      <c r="P18" s="6">
        <f t="shared" si="53"/>
        <v>1.4529914529914529</v>
      </c>
      <c r="Q18" s="6">
        <f t="shared" si="54"/>
        <v>-0.98450399059034954</v>
      </c>
      <c r="R18" s="6">
        <f t="shared" si="55"/>
        <v>3.5835189384561099</v>
      </c>
      <c r="S18" s="6">
        <f t="shared" si="56"/>
        <v>12.841607982273604</v>
      </c>
      <c r="T18" s="6">
        <f t="shared" si="57"/>
        <v>-3.5279886952661332</v>
      </c>
      <c r="U18" s="6">
        <f t="shared" si="48"/>
        <v>0.73975163739649319</v>
      </c>
      <c r="X18" s="34">
        <f t="shared" si="58"/>
        <v>50</v>
      </c>
      <c r="Y18" s="6">
        <f t="shared" si="49"/>
        <v>0.62059037087076807</v>
      </c>
      <c r="AP18" s="44">
        <v>124</v>
      </c>
      <c r="AQ18" s="6">
        <v>12</v>
      </c>
      <c r="AR18" s="88">
        <f t="shared" si="1"/>
        <v>0.36301369863013699</v>
      </c>
      <c r="AS18" s="88">
        <f t="shared" si="2"/>
        <v>0.63698630136986301</v>
      </c>
      <c r="AT18" s="6">
        <f t="shared" si="3"/>
        <v>1.3226846472105621E-2</v>
      </c>
      <c r="AU18" s="6">
        <f t="shared" si="4"/>
        <v>4.8202815656050371</v>
      </c>
      <c r="AV18" s="6">
        <f t="shared" si="5"/>
        <v>2.7547169811320753</v>
      </c>
      <c r="AW18" s="6">
        <f t="shared" si="6"/>
        <v>1.3226846472105621E-2</v>
      </c>
      <c r="AX18" s="6">
        <f t="shared" si="7"/>
        <v>4.8202815656050371</v>
      </c>
      <c r="AY18" s="6">
        <f t="shared" si="8"/>
        <v>23.235114371711749</v>
      </c>
      <c r="AZ18" s="6">
        <f t="shared" si="9"/>
        <v>6.3757124220578748E-2</v>
      </c>
      <c r="BA18" s="6">
        <f t="shared" si="20"/>
        <v>0.36886431909556772</v>
      </c>
      <c r="BD18" s="34">
        <f t="shared" si="37"/>
        <v>110</v>
      </c>
      <c r="BE18" s="6">
        <f t="shared" si="33"/>
        <v>0.41644760074190407</v>
      </c>
      <c r="BR18" s="93"/>
      <c r="BS18" s="93"/>
      <c r="BT18" s="93"/>
      <c r="BU18" s="93"/>
      <c r="BV18" s="93"/>
      <c r="BW18" s="93"/>
      <c r="BX18" s="93"/>
      <c r="BY18" s="93"/>
      <c r="BZ18" s="93"/>
      <c r="CA18" s="93"/>
      <c r="CB18" s="93"/>
      <c r="CC18" s="93"/>
      <c r="CF18" s="34">
        <f t="shared" si="38"/>
        <v>110</v>
      </c>
      <c r="CG18" s="6">
        <f t="shared" si="34"/>
        <v>0.31691073480222309</v>
      </c>
      <c r="CT18" s="87"/>
      <c r="CU18" s="87"/>
      <c r="CV18" s="87"/>
      <c r="CW18" s="93"/>
      <c r="CX18" t="s">
        <v>288</v>
      </c>
      <c r="DL18" s="34">
        <f t="shared" si="35"/>
        <v>110</v>
      </c>
      <c r="DM18" s="6">
        <f t="shared" si="36"/>
        <v>0.31691073480222309</v>
      </c>
    </row>
    <row r="19" spans="2:117" x14ac:dyDescent="0.25">
      <c r="B19" s="6">
        <f t="shared" si="50"/>
        <v>1316</v>
      </c>
      <c r="C19" s="5">
        <v>41512</v>
      </c>
      <c r="D19" s="6" t="s">
        <v>347</v>
      </c>
      <c r="E19" s="33">
        <v>120</v>
      </c>
      <c r="F19" s="6">
        <f t="shared" si="19"/>
        <v>147</v>
      </c>
      <c r="G19" s="6">
        <v>147</v>
      </c>
      <c r="H19" s="6">
        <v>37</v>
      </c>
      <c r="J19" s="6">
        <v>37</v>
      </c>
      <c r="K19" s="6">
        <v>8</v>
      </c>
      <c r="L19" s="83">
        <f t="shared" si="39"/>
        <v>0.64117647058823535</v>
      </c>
      <c r="M19" s="88">
        <f t="shared" si="47"/>
        <v>0.35882352941176465</v>
      </c>
      <c r="N19" s="6">
        <f t="shared" si="51"/>
        <v>-0.81091646796332084</v>
      </c>
      <c r="O19" s="6">
        <f t="shared" si="52"/>
        <v>3.6109179126442243</v>
      </c>
      <c r="P19" s="6">
        <f t="shared" si="53"/>
        <v>1.5596330275229358</v>
      </c>
      <c r="Q19" s="6">
        <f t="shared" si="54"/>
        <v>-0.81091646796332084</v>
      </c>
      <c r="R19" s="6">
        <f t="shared" si="55"/>
        <v>3.6109179126442243</v>
      </c>
      <c r="S19" s="6">
        <f t="shared" si="56"/>
        <v>13.038728171854922</v>
      </c>
      <c r="T19" s="6">
        <f t="shared" si="57"/>
        <v>-2.9281527998269414</v>
      </c>
      <c r="U19" s="6">
        <f t="shared" si="48"/>
        <v>0.73109805472489509</v>
      </c>
      <c r="X19" s="34">
        <f t="shared" si="58"/>
        <v>60</v>
      </c>
      <c r="Y19" s="6">
        <f t="shared" si="49"/>
        <v>0.54034691475363861</v>
      </c>
      <c r="AP19" s="44">
        <v>127</v>
      </c>
      <c r="AQ19" s="6">
        <v>13</v>
      </c>
      <c r="AR19" s="88">
        <f t="shared" si="1"/>
        <v>0.30821917808219179</v>
      </c>
      <c r="AS19" s="88">
        <f t="shared" si="2"/>
        <v>0.69178082191780821</v>
      </c>
      <c r="AT19" s="6">
        <f t="shared" si="3"/>
        <v>0.162921360658806</v>
      </c>
      <c r="AU19" s="6">
        <f t="shared" si="4"/>
        <v>4.8441870864585912</v>
      </c>
      <c r="AV19" s="6">
        <f t="shared" si="5"/>
        <v>3.2444444444444445</v>
      </c>
      <c r="AW19" s="6">
        <f t="shared" si="6"/>
        <v>0.162921360658806</v>
      </c>
      <c r="AX19" s="6">
        <f t="shared" si="7"/>
        <v>4.8441870864585912</v>
      </c>
      <c r="AY19" s="6">
        <f t="shared" si="8"/>
        <v>23.466148528612173</v>
      </c>
      <c r="AZ19" s="6">
        <f t="shared" si="9"/>
        <v>0.78922155141165073</v>
      </c>
      <c r="BA19" s="6">
        <f t="shared" si="20"/>
        <v>0.35934276038883228</v>
      </c>
      <c r="BD19" s="34">
        <f t="shared" si="37"/>
        <v>120</v>
      </c>
      <c r="BE19" s="6">
        <f t="shared" si="33"/>
        <v>0.38192217174143206</v>
      </c>
      <c r="BR19" s="93"/>
      <c r="BS19" s="80" t="s">
        <v>285</v>
      </c>
      <c r="BT19" s="81">
        <f>COUNT(BS7:BS17)</f>
        <v>11</v>
      </c>
      <c r="BU19" s="114"/>
      <c r="BV19" s="114"/>
      <c r="BW19"/>
      <c r="BX19" s="80" t="s">
        <v>325</v>
      </c>
      <c r="BY19" s="117">
        <f>SUM(BY6:BY17)</f>
        <v>-5.8885351505633636</v>
      </c>
      <c r="BZ19" s="117">
        <f>SUM(BZ6:BZ17)</f>
        <v>46.5777482206773</v>
      </c>
      <c r="CA19" s="117">
        <f>SUM(CA6:CA17)</f>
        <v>203.1560071539393</v>
      </c>
      <c r="CB19" s="117">
        <f>SUM(CB6:CB17)</f>
        <v>-16.355628132104069</v>
      </c>
      <c r="CC19" s="114"/>
      <c r="CF19" s="34">
        <f t="shared" si="38"/>
        <v>120</v>
      </c>
      <c r="CG19" s="6">
        <f t="shared" si="34"/>
        <v>0.27163984755634557</v>
      </c>
      <c r="CT19" s="87"/>
      <c r="CU19" s="87"/>
      <c r="CV19" s="87"/>
      <c r="CW19" s="93"/>
      <c r="DL19" s="34">
        <f t="shared" si="35"/>
        <v>120</v>
      </c>
      <c r="DM19" s="6">
        <f t="shared" si="36"/>
        <v>0.27163984755634557</v>
      </c>
    </row>
    <row r="20" spans="2:117" x14ac:dyDescent="0.25">
      <c r="B20" s="6">
        <f t="shared" si="50"/>
        <v>1364</v>
      </c>
      <c r="C20" s="5">
        <v>41561</v>
      </c>
      <c r="D20" s="6" t="s">
        <v>347</v>
      </c>
      <c r="E20" s="33">
        <v>60</v>
      </c>
      <c r="F20" s="6">
        <f t="shared" si="19"/>
        <v>49</v>
      </c>
      <c r="G20" s="6">
        <v>49</v>
      </c>
      <c r="H20" s="6">
        <v>38</v>
      </c>
      <c r="J20" s="6">
        <v>38</v>
      </c>
      <c r="K20" s="6">
        <v>9</v>
      </c>
      <c r="L20" s="83">
        <f t="shared" si="39"/>
        <v>0.59411764705882353</v>
      </c>
      <c r="M20" s="88">
        <f t="shared" si="47"/>
        <v>0.40588235294117647</v>
      </c>
      <c r="N20" s="6">
        <f t="shared" si="51"/>
        <v>-0.6526236237665145</v>
      </c>
      <c r="O20" s="6">
        <f t="shared" si="52"/>
        <v>3.6375861597263857</v>
      </c>
      <c r="P20" s="6">
        <f t="shared" si="53"/>
        <v>1.6831683168316831</v>
      </c>
      <c r="Q20" s="6">
        <f t="shared" si="54"/>
        <v>-0.6526236237665145</v>
      </c>
      <c r="R20" s="6">
        <f t="shared" si="55"/>
        <v>3.6375861597263857</v>
      </c>
      <c r="S20" s="6">
        <f t="shared" si="56"/>
        <v>13.232033069432955</v>
      </c>
      <c r="T20" s="6">
        <f t="shared" si="57"/>
        <v>-2.3739746613235528</v>
      </c>
      <c r="U20" s="6">
        <f t="shared" si="48"/>
        <v>0.72245384069404595</v>
      </c>
      <c r="X20" s="34">
        <f t="shared" si="58"/>
        <v>70</v>
      </c>
      <c r="Y20" s="6">
        <f t="shared" si="49"/>
        <v>0.46602000007175443</v>
      </c>
      <c r="AP20" s="44">
        <v>172</v>
      </c>
      <c r="AQ20" s="6">
        <v>14</v>
      </c>
      <c r="AR20" s="88">
        <f t="shared" si="1"/>
        <v>0.25342465753424659</v>
      </c>
      <c r="AS20" s="88">
        <f t="shared" si="2"/>
        <v>0.74657534246575341</v>
      </c>
      <c r="AT20" s="6">
        <f t="shared" si="3"/>
        <v>0.31677137789314697</v>
      </c>
      <c r="AU20" s="6">
        <f t="shared" si="4"/>
        <v>5.1474944768134527</v>
      </c>
      <c r="AV20" s="6">
        <f t="shared" si="5"/>
        <v>3.9459459459459456</v>
      </c>
      <c r="AW20" s="6">
        <f t="shared" si="6"/>
        <v>0.31677137789314697</v>
      </c>
      <c r="AX20" s="6">
        <f t="shared" si="7"/>
        <v>5.1474944768134527</v>
      </c>
      <c r="AY20" s="6">
        <f t="shared" si="8"/>
        <v>26.496699388825</v>
      </c>
      <c r="AZ20" s="6">
        <f t="shared" si="9"/>
        <v>1.6305789181175612</v>
      </c>
      <c r="BA20" s="6">
        <f t="shared" si="20"/>
        <v>0.24138287139898695</v>
      </c>
      <c r="BD20" s="34">
        <f t="shared" si="37"/>
        <v>130</v>
      </c>
      <c r="BE20" s="6">
        <f t="shared" si="33"/>
        <v>0.35004906303271438</v>
      </c>
      <c r="BR20" s="93"/>
      <c r="BS20" s="93"/>
      <c r="BT20" s="93"/>
      <c r="BU20" s="93"/>
      <c r="BV20" s="93"/>
      <c r="BW20" s="93"/>
      <c r="BX20" s="93"/>
      <c r="BY20" s="93"/>
      <c r="BZ20" s="93"/>
      <c r="CA20" s="93"/>
      <c r="CB20" s="93"/>
      <c r="CC20" s="93"/>
      <c r="CF20" s="34">
        <f t="shared" si="38"/>
        <v>130</v>
      </c>
      <c r="CG20" s="6">
        <f t="shared" si="34"/>
        <v>0.23147769805616411</v>
      </c>
      <c r="CT20" s="93"/>
      <c r="CU20" s="93"/>
      <c r="CV20" s="93"/>
      <c r="CW20" s="93"/>
      <c r="CX20" t="s">
        <v>289</v>
      </c>
      <c r="DL20" s="34">
        <f t="shared" si="35"/>
        <v>130</v>
      </c>
      <c r="DM20" s="6">
        <f t="shared" si="36"/>
        <v>0.23147769805616411</v>
      </c>
    </row>
    <row r="21" spans="2:117" x14ac:dyDescent="0.25">
      <c r="B21" s="6">
        <f t="shared" si="50"/>
        <v>1369</v>
      </c>
      <c r="C21" s="5">
        <v>41566</v>
      </c>
      <c r="D21" s="6" t="s">
        <v>347</v>
      </c>
      <c r="E21" s="33">
        <v>150</v>
      </c>
      <c r="F21" s="6">
        <f t="shared" si="19"/>
        <v>5</v>
      </c>
      <c r="G21" s="6">
        <v>5</v>
      </c>
      <c r="H21" s="6">
        <v>46</v>
      </c>
      <c r="J21" s="6">
        <v>46</v>
      </c>
      <c r="K21" s="6">
        <v>10</v>
      </c>
      <c r="L21" s="83">
        <f t="shared" si="39"/>
        <v>0.54705882352941182</v>
      </c>
      <c r="M21" s="88">
        <f t="shared" si="47"/>
        <v>0.45294117647058818</v>
      </c>
      <c r="N21" s="6">
        <f t="shared" si="51"/>
        <v>-0.50550821312380001</v>
      </c>
      <c r="O21" s="6">
        <f t="shared" si="52"/>
        <v>3.8286413964890951</v>
      </c>
      <c r="P21" s="6">
        <f t="shared" si="53"/>
        <v>1.8279569892473115</v>
      </c>
      <c r="Q21" s="6">
        <f t="shared" si="54"/>
        <v>-0.50550821312380001</v>
      </c>
      <c r="R21" s="6">
        <f t="shared" si="55"/>
        <v>3.8286413964890951</v>
      </c>
      <c r="S21" s="6">
        <f t="shared" si="56"/>
        <v>14.658494942909968</v>
      </c>
      <c r="T21" s="6">
        <f t="shared" si="57"/>
        <v>-1.9354096710310127</v>
      </c>
      <c r="U21" s="6">
        <f t="shared" si="48"/>
        <v>0.65402842459216692</v>
      </c>
      <c r="X21" s="34">
        <f t="shared" si="58"/>
        <v>80</v>
      </c>
      <c r="Y21" s="6">
        <f t="shared" si="49"/>
        <v>0.39844619876366172</v>
      </c>
      <c r="AP21" s="89">
        <v>174</v>
      </c>
      <c r="AQ21" s="6">
        <v>15</v>
      </c>
      <c r="AR21" s="88">
        <f t="shared" si="1"/>
        <v>0.19863013698630136</v>
      </c>
      <c r="AS21" s="88">
        <f t="shared" si="2"/>
        <v>0.80136986301369861</v>
      </c>
      <c r="AT21" s="6">
        <f t="shared" si="3"/>
        <v>0.48014626321753701</v>
      </c>
      <c r="AU21" s="6">
        <f t="shared" si="4"/>
        <v>5.1590552992145291</v>
      </c>
      <c r="AV21" s="6">
        <f t="shared" si="5"/>
        <v>5.0344827586206895</v>
      </c>
      <c r="AW21" s="6">
        <f t="shared" si="6"/>
        <v>0.48014626321753701</v>
      </c>
      <c r="AX21" s="6">
        <f t="shared" si="7"/>
        <v>5.1590552992145291</v>
      </c>
      <c r="AY21" s="6">
        <f t="shared" si="8"/>
        <v>26.615851580353514</v>
      </c>
      <c r="AZ21" s="6">
        <f t="shared" si="9"/>
        <v>2.4771011236504883</v>
      </c>
      <c r="BA21" s="6">
        <f t="shared" si="20"/>
        <v>0.23709954554192031</v>
      </c>
      <c r="BD21" s="34">
        <f t="shared" si="37"/>
        <v>140</v>
      </c>
      <c r="BE21" s="6">
        <f t="shared" si="33"/>
        <v>0.32065719030816248</v>
      </c>
      <c r="BR21" t="s">
        <v>294</v>
      </c>
      <c r="BU21"/>
      <c r="BV21"/>
      <c r="BW21"/>
      <c r="BX21"/>
      <c r="BY21"/>
      <c r="BZ21"/>
      <c r="CA21"/>
      <c r="CB21"/>
      <c r="CC21"/>
      <c r="CF21" s="34">
        <f t="shared" si="38"/>
        <v>140</v>
      </c>
      <c r="CG21" s="6">
        <f t="shared" si="34"/>
        <v>0.19615268032769878</v>
      </c>
      <c r="CT21" s="94"/>
      <c r="DL21" s="34">
        <f t="shared" si="35"/>
        <v>140</v>
      </c>
      <c r="DM21" s="6">
        <f t="shared" si="36"/>
        <v>0.19615268032769878</v>
      </c>
    </row>
    <row r="22" spans="2:117" x14ac:dyDescent="0.25">
      <c r="B22" s="6">
        <f t="shared" si="50"/>
        <v>1370</v>
      </c>
      <c r="C22" s="5">
        <v>41567</v>
      </c>
      <c r="D22" s="6" t="s">
        <v>347</v>
      </c>
      <c r="E22" s="33">
        <v>120</v>
      </c>
      <c r="F22" s="6">
        <f t="shared" si="19"/>
        <v>1</v>
      </c>
      <c r="G22" s="6">
        <v>1</v>
      </c>
      <c r="H22" s="6">
        <v>49</v>
      </c>
      <c r="J22" s="6">
        <v>49</v>
      </c>
      <c r="K22" s="6">
        <v>11</v>
      </c>
      <c r="L22" s="83">
        <f t="shared" si="39"/>
        <v>0.5</v>
      </c>
      <c r="M22" s="88">
        <f t="shared" si="47"/>
        <v>0.5</v>
      </c>
      <c r="N22" s="6">
        <f t="shared" si="51"/>
        <v>-0.36651292058166435</v>
      </c>
      <c r="O22" s="6">
        <f t="shared" si="52"/>
        <v>3.8918202981106265</v>
      </c>
      <c r="P22" s="6">
        <f t="shared" si="53"/>
        <v>2</v>
      </c>
      <c r="Q22" s="6">
        <f t="shared" si="54"/>
        <v>-0.36651292058166435</v>
      </c>
      <c r="R22" s="6">
        <f t="shared" si="55"/>
        <v>3.8918202981106265</v>
      </c>
      <c r="S22" s="6">
        <f t="shared" si="56"/>
        <v>15.146265232785886</v>
      </c>
      <c r="T22" s="6">
        <f t="shared" si="57"/>
        <v>-1.4264024238395292</v>
      </c>
      <c r="U22" s="6">
        <f t="shared" si="48"/>
        <v>0.62888820397455114</v>
      </c>
      <c r="X22" s="34">
        <f t="shared" si="58"/>
        <v>90</v>
      </c>
      <c r="Y22" s="6">
        <f t="shared" si="49"/>
        <v>0.33795630201282162</v>
      </c>
      <c r="AP22" s="89">
        <v>240</v>
      </c>
      <c r="AQ22" s="6">
        <v>16</v>
      </c>
      <c r="AR22" s="88">
        <f t="shared" si="1"/>
        <v>0.14383561643835616</v>
      </c>
      <c r="AS22" s="88">
        <f t="shared" si="2"/>
        <v>0.85616438356164382</v>
      </c>
      <c r="AT22" s="6">
        <f t="shared" si="3"/>
        <v>0.6622157915041933</v>
      </c>
      <c r="AU22" s="6">
        <f t="shared" si="4"/>
        <v>5.4806389233419912</v>
      </c>
      <c r="AV22" s="6">
        <f t="shared" si="5"/>
        <v>6.9523809523809526</v>
      </c>
      <c r="AW22" s="6">
        <f t="shared" si="6"/>
        <v>0.6622157915041933</v>
      </c>
      <c r="AX22" s="6">
        <f t="shared" si="7"/>
        <v>5.4806389233419912</v>
      </c>
      <c r="AY22" s="6">
        <f t="shared" si="8"/>
        <v>30.03740300805126</v>
      </c>
      <c r="AZ22" s="6">
        <f t="shared" si="9"/>
        <v>3.6293656425696064</v>
      </c>
      <c r="BA22" s="6">
        <f t="shared" si="20"/>
        <v>0.13018961305936361</v>
      </c>
      <c r="BD22" s="34">
        <f t="shared" si="37"/>
        <v>150</v>
      </c>
      <c r="BE22" s="6">
        <f t="shared" si="33"/>
        <v>0.29358035427166784</v>
      </c>
      <c r="BU22"/>
      <c r="BV22"/>
      <c r="BW22"/>
      <c r="BX22"/>
      <c r="BY22"/>
      <c r="BZ22"/>
      <c r="CA22"/>
      <c r="CB22"/>
      <c r="CC22"/>
      <c r="CF22" s="34">
        <f t="shared" si="38"/>
        <v>150</v>
      </c>
      <c r="CG22" s="6">
        <f t="shared" si="34"/>
        <v>0.16532805294490885</v>
      </c>
      <c r="CT22" s="93"/>
      <c r="CU22" s="93"/>
      <c r="CV22" s="93"/>
      <c r="CW22" s="93"/>
      <c r="CX22" t="s">
        <v>290</v>
      </c>
      <c r="DL22" s="34">
        <f t="shared" si="35"/>
        <v>150</v>
      </c>
      <c r="DM22" s="6">
        <f t="shared" si="36"/>
        <v>0.16532805294490885</v>
      </c>
    </row>
    <row r="23" spans="2:117" x14ac:dyDescent="0.25">
      <c r="B23" s="6">
        <f t="shared" si="50"/>
        <v>1400</v>
      </c>
      <c r="C23" s="5">
        <v>41598</v>
      </c>
      <c r="D23" s="6" t="s">
        <v>347</v>
      </c>
      <c r="E23" s="33">
        <v>90</v>
      </c>
      <c r="F23" s="6">
        <f t="shared" si="19"/>
        <v>31</v>
      </c>
      <c r="G23" s="6">
        <v>31</v>
      </c>
      <c r="H23" s="6">
        <v>49</v>
      </c>
      <c r="J23" s="6">
        <v>49</v>
      </c>
      <c r="K23" s="6">
        <v>12</v>
      </c>
      <c r="L23" s="83">
        <f t="shared" si="39"/>
        <v>0.45294117647058824</v>
      </c>
      <c r="M23" s="88">
        <f t="shared" si="47"/>
        <v>0.54705882352941182</v>
      </c>
      <c r="N23" s="6">
        <f t="shared" si="51"/>
        <v>-0.23320270640284052</v>
      </c>
      <c r="O23" s="6">
        <f t="shared" si="52"/>
        <v>3.8918202981106265</v>
      </c>
      <c r="P23" s="6">
        <f t="shared" si="53"/>
        <v>2.2077922077922079</v>
      </c>
      <c r="Q23" s="6">
        <f t="shared" si="54"/>
        <v>-0.23320270640284052</v>
      </c>
      <c r="R23" s="6">
        <f t="shared" si="55"/>
        <v>3.8918202981106265</v>
      </c>
      <c r="S23" s="6">
        <f t="shared" si="56"/>
        <v>15.146265232785886</v>
      </c>
      <c r="T23" s="6">
        <f t="shared" si="57"/>
        <v>-0.90758302635290766</v>
      </c>
      <c r="U23" s="6">
        <f t="shared" si="48"/>
        <v>0.62888820397455114</v>
      </c>
      <c r="X23" s="34">
        <f t="shared" si="58"/>
        <v>100</v>
      </c>
      <c r="Y23" s="6">
        <f t="shared" si="49"/>
        <v>0.28452207283494813</v>
      </c>
      <c r="AP23" s="89">
        <v>302</v>
      </c>
      <c r="AQ23" s="6">
        <v>17</v>
      </c>
      <c r="AR23" s="88">
        <f t="shared" si="1"/>
        <v>8.9041095890410954E-2</v>
      </c>
      <c r="AS23" s="88">
        <f t="shared" si="2"/>
        <v>0.91095890410958902</v>
      </c>
      <c r="AT23" s="6">
        <f t="shared" si="3"/>
        <v>0.88321253669786415</v>
      </c>
      <c r="AU23" s="6">
        <f t="shared" si="4"/>
        <v>5.7104270173748697</v>
      </c>
      <c r="AV23" s="6">
        <f t="shared" si="5"/>
        <v>11.230769230769232</v>
      </c>
      <c r="AW23" s="6">
        <f t="shared" si="6"/>
        <v>0.88321253669786415</v>
      </c>
      <c r="AX23" s="6">
        <f t="shared" si="7"/>
        <v>5.7104270173748697</v>
      </c>
      <c r="AY23" s="6">
        <f t="shared" si="8"/>
        <v>32.608976720764851</v>
      </c>
      <c r="AZ23" s="6">
        <f t="shared" si="9"/>
        <v>5.0435207316436772</v>
      </c>
      <c r="BA23" s="6">
        <f t="shared" si="20"/>
        <v>7.3189053845842747E-2</v>
      </c>
      <c r="BD23" s="34">
        <f t="shared" si="37"/>
        <v>160</v>
      </c>
      <c r="BE23" s="6">
        <f t="shared" si="33"/>
        <v>0.26865864756692237</v>
      </c>
      <c r="BR23" t="s">
        <v>288</v>
      </c>
      <c r="BU23"/>
      <c r="BV23"/>
      <c r="BW23"/>
      <c r="BX23"/>
      <c r="BY23"/>
      <c r="BZ23"/>
      <c r="CA23"/>
      <c r="CB23"/>
      <c r="CC23"/>
      <c r="CF23" s="34">
        <f t="shared" si="38"/>
        <v>160</v>
      </c>
      <c r="CG23" s="6">
        <f t="shared" si="34"/>
        <v>0.13862882987838346</v>
      </c>
      <c r="CT23" s="93"/>
      <c r="CU23" s="93"/>
      <c r="CV23" s="93"/>
      <c r="CW23" s="93"/>
      <c r="CX23" t="s">
        <v>291</v>
      </c>
      <c r="DL23" s="34">
        <f t="shared" si="35"/>
        <v>160</v>
      </c>
      <c r="DM23" s="6">
        <f t="shared" si="36"/>
        <v>0.13862882987838346</v>
      </c>
    </row>
    <row r="24" spans="2:117" x14ac:dyDescent="0.25">
      <c r="B24" s="6">
        <f t="shared" si="50"/>
        <v>1419</v>
      </c>
      <c r="C24" s="5">
        <v>41617</v>
      </c>
      <c r="D24" s="6" t="s">
        <v>347</v>
      </c>
      <c r="E24" s="33">
        <v>30</v>
      </c>
      <c r="F24" s="6">
        <f t="shared" si="19"/>
        <v>19</v>
      </c>
      <c r="G24" s="6">
        <v>19</v>
      </c>
      <c r="H24" s="6">
        <v>65</v>
      </c>
      <c r="J24" s="6">
        <v>65</v>
      </c>
      <c r="K24" s="6">
        <v>13</v>
      </c>
      <c r="L24" s="83">
        <f t="shared" si="39"/>
        <v>0.40588235294117647</v>
      </c>
      <c r="M24" s="88">
        <f t="shared" si="47"/>
        <v>0.59411764705882353</v>
      </c>
      <c r="N24" s="6">
        <f t="shared" si="51"/>
        <v>-0.10348235555744303</v>
      </c>
      <c r="O24" s="6">
        <f t="shared" si="52"/>
        <v>4.1743872698956368</v>
      </c>
      <c r="P24" s="6">
        <f t="shared" si="53"/>
        <v>2.4637681159420288</v>
      </c>
      <c r="Q24" s="6">
        <f t="shared" si="54"/>
        <v>-0.10348235555744303</v>
      </c>
      <c r="R24" s="6">
        <f t="shared" si="55"/>
        <v>4.1743872698956368</v>
      </c>
      <c r="S24" s="6">
        <f t="shared" si="56"/>
        <v>17.42550907906675</v>
      </c>
      <c r="T24" s="6">
        <f t="shared" si="57"/>
        <v>-0.43197542769780423</v>
      </c>
      <c r="U24" s="6">
        <f t="shared" si="48"/>
        <v>0.50237772773927825</v>
      </c>
      <c r="X24" s="34">
        <f t="shared" si="58"/>
        <v>110</v>
      </c>
      <c r="Y24" s="6">
        <f t="shared" si="49"/>
        <v>0.23786770188492753</v>
      </c>
      <c r="AP24" s="44">
        <v>322</v>
      </c>
      <c r="AQ24" s="6">
        <v>18</v>
      </c>
      <c r="AR24" s="88">
        <f t="shared" si="1"/>
        <v>3.4246575342465752E-2</v>
      </c>
      <c r="AS24" s="88">
        <f t="shared" si="2"/>
        <v>0.96575342465753422</v>
      </c>
      <c r="AT24" s="6">
        <f t="shared" si="3"/>
        <v>1.216148985622417</v>
      </c>
      <c r="AU24" s="6">
        <f t="shared" si="4"/>
        <v>5.7745515455444085</v>
      </c>
      <c r="AV24" s="6">
        <f t="shared" si="5"/>
        <v>29.200000000000003</v>
      </c>
      <c r="AW24" s="6">
        <f t="shared" si="6"/>
        <v>1.216148985622417</v>
      </c>
      <c r="AX24" s="6">
        <f t="shared" si="7"/>
        <v>5.7745515455444085</v>
      </c>
      <c r="AY24" s="6">
        <f t="shared" si="8"/>
        <v>33.345445552149314</v>
      </c>
      <c r="AZ24" s="6">
        <f t="shared" si="9"/>
        <v>7.0227150045381928</v>
      </c>
      <c r="BA24" s="6">
        <f t="shared" si="20"/>
        <v>6.0645693614482729E-2</v>
      </c>
      <c r="BD24" s="34">
        <f t="shared" si="37"/>
        <v>170</v>
      </c>
      <c r="BE24" s="6">
        <f t="shared" si="33"/>
        <v>0.24573934470190612</v>
      </c>
      <c r="BU24"/>
      <c r="BV24"/>
      <c r="BW24"/>
      <c r="BX24"/>
      <c r="BY24"/>
      <c r="BZ24"/>
      <c r="CA24"/>
      <c r="CB24"/>
      <c r="CC24"/>
      <c r="CF24" s="34">
        <f t="shared" si="38"/>
        <v>170</v>
      </c>
      <c r="CG24" s="6">
        <f t="shared" si="34"/>
        <v>0.11566291217186198</v>
      </c>
      <c r="CT24" s="93"/>
      <c r="CU24" s="93"/>
      <c r="CV24" s="93"/>
      <c r="CW24" s="93"/>
      <c r="DL24" s="34">
        <f t="shared" si="35"/>
        <v>170</v>
      </c>
      <c r="DM24" s="6">
        <f t="shared" si="36"/>
        <v>0.11566291217186198</v>
      </c>
    </row>
    <row r="25" spans="2:117" x14ac:dyDescent="0.25">
      <c r="B25" s="6">
        <f t="shared" ref="B25:B30" si="59">DAYS360("31-12-2009",C25)</f>
        <v>1482</v>
      </c>
      <c r="C25" s="5">
        <v>41682</v>
      </c>
      <c r="D25" s="6" t="s">
        <v>347</v>
      </c>
      <c r="E25" s="6">
        <v>180</v>
      </c>
      <c r="F25" s="6">
        <f t="shared" si="19"/>
        <v>65</v>
      </c>
      <c r="G25" s="6">
        <v>65</v>
      </c>
      <c r="H25" s="6">
        <v>66</v>
      </c>
      <c r="J25" s="6">
        <v>66</v>
      </c>
      <c r="K25" s="6">
        <v>14</v>
      </c>
      <c r="L25" s="83">
        <f t="shared" si="39"/>
        <v>0.35882352941176471</v>
      </c>
      <c r="M25" s="88">
        <f t="shared" si="47"/>
        <v>0.64117647058823524</v>
      </c>
      <c r="N25" s="6">
        <f t="shared" si="51"/>
        <v>2.4619022445561741E-2</v>
      </c>
      <c r="O25" s="6">
        <f t="shared" si="52"/>
        <v>4.1896547420264252</v>
      </c>
      <c r="P25" s="6">
        <f t="shared" si="53"/>
        <v>2.7868852459016393</v>
      </c>
      <c r="Q25" s="6">
        <f t="shared" si="54"/>
        <v>2.4619022445561741E-2</v>
      </c>
      <c r="R25" s="6">
        <f t="shared" si="55"/>
        <v>4.1896547420264252</v>
      </c>
      <c r="S25" s="6">
        <f t="shared" si="56"/>
        <v>17.553206857384513</v>
      </c>
      <c r="T25" s="6">
        <f t="shared" si="57"/>
        <v>0.10314520413310274</v>
      </c>
      <c r="U25" s="6">
        <f t="shared" si="48"/>
        <v>0.49497406530663801</v>
      </c>
      <c r="X25" s="34">
        <f t="shared" si="58"/>
        <v>120</v>
      </c>
      <c r="Y25" s="6">
        <f t="shared" si="49"/>
        <v>0.19755539058349444</v>
      </c>
      <c r="BD25" s="34">
        <f t="shared" si="37"/>
        <v>180</v>
      </c>
      <c r="BE25" s="6">
        <f t="shared" si="33"/>
        <v>0.2246774226239287</v>
      </c>
      <c r="BR25" t="s">
        <v>289</v>
      </c>
      <c r="BU25"/>
      <c r="BV25"/>
      <c r="BW25"/>
      <c r="BX25"/>
      <c r="BY25"/>
      <c r="BZ25"/>
      <c r="CA25"/>
      <c r="CB25"/>
      <c r="CC25"/>
      <c r="CF25" s="34">
        <f t="shared" si="38"/>
        <v>180</v>
      </c>
      <c r="CG25" s="6">
        <f t="shared" si="34"/>
        <v>9.6037266014867465E-2</v>
      </c>
      <c r="CT25" s="93"/>
      <c r="CU25" s="93"/>
      <c r="CV25" s="93"/>
      <c r="CW25" s="93"/>
      <c r="CX25" s="106" t="s">
        <v>315</v>
      </c>
      <c r="DL25" s="34">
        <f t="shared" si="35"/>
        <v>180</v>
      </c>
      <c r="DM25" s="6">
        <f t="shared" si="36"/>
        <v>9.6037266014867465E-2</v>
      </c>
    </row>
    <row r="26" spans="2:117" x14ac:dyDescent="0.25">
      <c r="B26" s="6">
        <f t="shared" si="59"/>
        <v>1483</v>
      </c>
      <c r="C26" s="5">
        <v>41683</v>
      </c>
      <c r="D26" s="6" t="s">
        <v>347</v>
      </c>
      <c r="E26" s="6">
        <v>60</v>
      </c>
      <c r="F26" s="6">
        <f t="shared" si="19"/>
        <v>1</v>
      </c>
      <c r="G26" s="6">
        <v>1</v>
      </c>
      <c r="H26" s="6">
        <v>101</v>
      </c>
      <c r="J26" s="6">
        <v>101</v>
      </c>
      <c r="K26" s="6">
        <v>15</v>
      </c>
      <c r="L26" s="83">
        <f t="shared" si="39"/>
        <v>0.31176470588235294</v>
      </c>
      <c r="M26" s="88">
        <f t="shared" si="47"/>
        <v>0.68823529411764706</v>
      </c>
      <c r="N26" s="6">
        <f t="shared" si="51"/>
        <v>0.15315577664501187</v>
      </c>
      <c r="O26" s="6">
        <f t="shared" si="52"/>
        <v>4.6151205168412597</v>
      </c>
      <c r="P26" s="6">
        <f t="shared" si="53"/>
        <v>3.2075471698113209</v>
      </c>
      <c r="Q26" s="6">
        <f t="shared" si="54"/>
        <v>0.15315577664501187</v>
      </c>
      <c r="R26" s="6">
        <f t="shared" si="55"/>
        <v>4.6151205168412597</v>
      </c>
      <c r="S26" s="6">
        <f t="shared" si="56"/>
        <v>21.299337384969135</v>
      </c>
      <c r="T26" s="6">
        <f t="shared" si="57"/>
        <v>0.70683236706715169</v>
      </c>
      <c r="U26" s="6">
        <f t="shared" si="48"/>
        <v>0.27955774039735481</v>
      </c>
      <c r="X26" s="34">
        <f t="shared" si="58"/>
        <v>130</v>
      </c>
      <c r="Y26" s="6">
        <f t="shared" si="49"/>
        <v>0.16305076304160926</v>
      </c>
      <c r="AQ26" s="80" t="s">
        <v>285</v>
      </c>
      <c r="AR26" s="81">
        <f>COUNT(AQ7:AQ24)</f>
        <v>18</v>
      </c>
      <c r="AS26" s="114"/>
      <c r="AT26" s="114"/>
      <c r="AU26"/>
      <c r="AV26" s="80" t="s">
        <v>325</v>
      </c>
      <c r="AW26">
        <f>SUM(AW7:AW24)</f>
        <v>-9.8748538042472198</v>
      </c>
      <c r="AX26">
        <f>SUM(AX7:AX24)</f>
        <v>77.689650866182177</v>
      </c>
      <c r="AY26">
        <f>SUM(AY7:AY24)</f>
        <v>354.77625985900681</v>
      </c>
      <c r="AZ26">
        <f>SUM(AZ7:AZ24)</f>
        <v>-21.549258503170417</v>
      </c>
      <c r="BA26" s="114"/>
      <c r="BD26" s="34">
        <f t="shared" si="37"/>
        <v>190</v>
      </c>
      <c r="BE26" s="6">
        <f t="shared" si="33"/>
        <v>0.20533581511009658</v>
      </c>
      <c r="BU26"/>
      <c r="BV26"/>
      <c r="BW26"/>
      <c r="BX26"/>
      <c r="BY26"/>
      <c r="BZ26"/>
      <c r="CA26"/>
      <c r="CB26"/>
      <c r="CC26"/>
      <c r="CF26" s="34">
        <f t="shared" si="38"/>
        <v>190</v>
      </c>
      <c r="CG26" s="6">
        <f t="shared" si="34"/>
        <v>7.9369899815813508E-2</v>
      </c>
      <c r="CT26" s="93"/>
      <c r="CU26" s="93"/>
      <c r="CV26" s="93"/>
      <c r="CW26" s="93"/>
      <c r="DL26" s="34">
        <f t="shared" si="35"/>
        <v>190</v>
      </c>
      <c r="DM26" s="6">
        <f t="shared" si="36"/>
        <v>7.9369899815813508E-2</v>
      </c>
    </row>
    <row r="27" spans="2:117" x14ac:dyDescent="0.25">
      <c r="B27" s="6">
        <f t="shared" si="59"/>
        <v>1514</v>
      </c>
      <c r="C27" s="5">
        <v>41712</v>
      </c>
      <c r="D27" s="6" t="s">
        <v>347</v>
      </c>
      <c r="E27" s="6">
        <v>30</v>
      </c>
      <c r="F27" s="6">
        <f t="shared" si="19"/>
        <v>29</v>
      </c>
      <c r="G27" s="6">
        <v>29</v>
      </c>
      <c r="H27" s="6">
        <v>126</v>
      </c>
      <c r="J27" s="6">
        <v>126</v>
      </c>
      <c r="K27" s="6">
        <v>16</v>
      </c>
      <c r="L27" s="83">
        <f t="shared" si="39"/>
        <v>0.26470588235294118</v>
      </c>
      <c r="M27" s="88">
        <f t="shared" si="47"/>
        <v>0.73529411764705888</v>
      </c>
      <c r="N27" s="6">
        <f t="shared" si="51"/>
        <v>0.28452906741146539</v>
      </c>
      <c r="O27" s="6">
        <f t="shared" si="52"/>
        <v>4.836281906951478</v>
      </c>
      <c r="P27" s="6">
        <f t="shared" si="53"/>
        <v>3.7777777777777777</v>
      </c>
      <c r="Q27" s="6">
        <f t="shared" si="54"/>
        <v>0.28452906741146539</v>
      </c>
      <c r="R27" s="6">
        <f t="shared" si="55"/>
        <v>4.836281906951478</v>
      </c>
      <c r="S27" s="6">
        <f t="shared" si="56"/>
        <v>23.389622683506225</v>
      </c>
      <c r="T27" s="6">
        <f t="shared" si="57"/>
        <v>1.3760627807238475</v>
      </c>
      <c r="U27" s="6">
        <f t="shared" si="48"/>
        <v>0.17619233699251316</v>
      </c>
      <c r="X27" s="34">
        <f t="shared" si="58"/>
        <v>140</v>
      </c>
      <c r="Y27" s="6">
        <f t="shared" si="49"/>
        <v>0.13377210419885413</v>
      </c>
      <c r="BD27" s="34">
        <f t="shared" si="37"/>
        <v>200</v>
      </c>
      <c r="BE27" s="6">
        <f t="shared" si="33"/>
        <v>0.18758547464528447</v>
      </c>
      <c r="BR27" t="s">
        <v>290</v>
      </c>
      <c r="BU27"/>
      <c r="BV27"/>
      <c r="BW27"/>
      <c r="BX27"/>
      <c r="BY27"/>
      <c r="BZ27"/>
      <c r="CA27"/>
      <c r="CB27"/>
      <c r="CC27"/>
      <c r="CF27" s="34">
        <f t="shared" si="38"/>
        <v>200</v>
      </c>
      <c r="CG27" s="6">
        <f t="shared" si="34"/>
        <v>6.5298337603633239E-2</v>
      </c>
      <c r="CT27" s="93"/>
      <c r="CU27" s="93"/>
      <c r="CV27" s="93"/>
      <c r="CW27" s="93"/>
      <c r="CX27" t="s">
        <v>316</v>
      </c>
      <c r="DL27" s="34">
        <f t="shared" si="35"/>
        <v>200</v>
      </c>
      <c r="DM27" s="6">
        <f t="shared" si="36"/>
        <v>6.5298337603633239E-2</v>
      </c>
    </row>
    <row r="28" spans="2:117" x14ac:dyDescent="0.25">
      <c r="B28" s="6">
        <f t="shared" si="59"/>
        <v>1579</v>
      </c>
      <c r="C28" s="5">
        <v>41778</v>
      </c>
      <c r="D28" s="6" t="s">
        <v>358</v>
      </c>
      <c r="E28" s="6">
        <v>480</v>
      </c>
      <c r="F28" s="6">
        <f t="shared" si="19"/>
        <v>66</v>
      </c>
      <c r="G28" s="6">
        <v>66</v>
      </c>
      <c r="H28" s="6">
        <v>136</v>
      </c>
      <c r="J28" s="6">
        <v>136</v>
      </c>
      <c r="K28" s="6">
        <v>17</v>
      </c>
      <c r="L28" s="83">
        <f t="shared" si="39"/>
        <v>0.21764705882352942</v>
      </c>
      <c r="M28" s="88">
        <f t="shared" si="47"/>
        <v>0.78235294117647058</v>
      </c>
      <c r="N28" s="6">
        <f t="shared" si="51"/>
        <v>0.4219160623384936</v>
      </c>
      <c r="O28" s="6">
        <f t="shared" si="52"/>
        <v>4.9126548857360524</v>
      </c>
      <c r="P28" s="6">
        <f t="shared" si="53"/>
        <v>4.5945945945945947</v>
      </c>
      <c r="Q28" s="6">
        <f t="shared" si="54"/>
        <v>0.4219160623384936</v>
      </c>
      <c r="R28" s="6">
        <f t="shared" si="55"/>
        <v>4.9126548857360524</v>
      </c>
      <c r="S28" s="6">
        <f t="shared" si="56"/>
        <v>24.134178026346305</v>
      </c>
      <c r="T28" s="6">
        <f t="shared" si="57"/>
        <v>2.0727280050177175</v>
      </c>
      <c r="U28" s="6">
        <f t="shared" si="48"/>
        <v>0.14489448818830369</v>
      </c>
      <c r="X28" s="34">
        <f t="shared" si="58"/>
        <v>150</v>
      </c>
      <c r="Y28" s="6">
        <f t="shared" si="49"/>
        <v>0.10912653115816336</v>
      </c>
      <c r="AP28" t="s">
        <v>294</v>
      </c>
      <c r="AS28"/>
      <c r="AT28"/>
      <c r="AU28"/>
      <c r="AV28"/>
      <c r="AW28"/>
      <c r="AX28"/>
      <c r="AY28"/>
      <c r="AZ28"/>
      <c r="BA28"/>
      <c r="BD28" s="34">
        <f t="shared" si="37"/>
        <v>210</v>
      </c>
      <c r="BE28" s="6">
        <f t="shared" si="33"/>
        <v>0.17130529533554986</v>
      </c>
      <c r="BR28" t="s">
        <v>291</v>
      </c>
      <c r="BU28"/>
      <c r="BV28"/>
      <c r="BW28"/>
      <c r="BX28"/>
      <c r="BY28"/>
      <c r="BZ28"/>
      <c r="CA28"/>
      <c r="CB28"/>
      <c r="CC28"/>
      <c r="CF28" s="34">
        <f t="shared" si="38"/>
        <v>210</v>
      </c>
      <c r="CG28" s="6">
        <f t="shared" si="34"/>
        <v>5.3485225044843966E-2</v>
      </c>
      <c r="CT28" s="93"/>
      <c r="CU28" s="93"/>
      <c r="CV28" s="93"/>
      <c r="CW28" s="93"/>
      <c r="DL28" s="34">
        <f t="shared" si="35"/>
        <v>210</v>
      </c>
      <c r="DM28" s="6">
        <f t="shared" si="36"/>
        <v>5.3485225044843966E-2</v>
      </c>
    </row>
    <row r="29" spans="2:117" x14ac:dyDescent="0.25">
      <c r="B29" s="6">
        <f t="shared" si="59"/>
        <v>1582</v>
      </c>
      <c r="C29" s="5">
        <v>41781</v>
      </c>
      <c r="D29" s="6" t="s">
        <v>347</v>
      </c>
      <c r="E29" s="6">
        <v>30</v>
      </c>
      <c r="F29" s="6">
        <f t="shared" si="19"/>
        <v>3</v>
      </c>
      <c r="G29" s="6">
        <v>3</v>
      </c>
      <c r="H29" s="6">
        <v>147</v>
      </c>
      <c r="J29" s="6">
        <v>147</v>
      </c>
      <c r="K29" s="6">
        <v>18</v>
      </c>
      <c r="L29" s="83">
        <f t="shared" si="39"/>
        <v>0.17058823529411765</v>
      </c>
      <c r="M29" s="88">
        <f t="shared" si="47"/>
        <v>0.82941176470588229</v>
      </c>
      <c r="N29" s="6">
        <f t="shared" si="51"/>
        <v>0.57013320382899968</v>
      </c>
      <c r="O29" s="6">
        <f t="shared" si="52"/>
        <v>4.990432586778736</v>
      </c>
      <c r="P29" s="6">
        <f t="shared" si="53"/>
        <v>5.8620689655172411</v>
      </c>
      <c r="Q29" s="6">
        <f t="shared" si="54"/>
        <v>0.57013320382899968</v>
      </c>
      <c r="R29" s="6">
        <f t="shared" si="55"/>
        <v>4.990432586778736</v>
      </c>
      <c r="S29" s="6">
        <f t="shared" si="56"/>
        <v>24.904417403183107</v>
      </c>
      <c r="T29" s="6">
        <f t="shared" si="57"/>
        <v>2.8452113191928032</v>
      </c>
      <c r="U29" s="6">
        <f t="shared" si="48"/>
        <v>0.11606863350563401</v>
      </c>
      <c r="X29" s="34">
        <f t="shared" si="58"/>
        <v>160</v>
      </c>
      <c r="Y29" s="6">
        <f t="shared" si="49"/>
        <v>8.8535656440497656E-2</v>
      </c>
      <c r="AS29"/>
      <c r="AT29"/>
      <c r="AU29"/>
      <c r="AV29"/>
      <c r="AW29"/>
      <c r="AX29"/>
      <c r="AY29"/>
      <c r="AZ29"/>
      <c r="BA29"/>
      <c r="BD29" s="34">
        <f>BD28+10</f>
        <v>220</v>
      </c>
      <c r="BE29" s="6">
        <f t="shared" si="33"/>
        <v>0.15638193632819333</v>
      </c>
      <c r="BU29"/>
      <c r="BV29"/>
      <c r="BW29"/>
      <c r="BX29"/>
      <c r="BY29"/>
      <c r="BZ29"/>
      <c r="CA29"/>
      <c r="CB29"/>
      <c r="CC29"/>
      <c r="CF29" s="34">
        <f>CF28+10</f>
        <v>220</v>
      </c>
      <c r="CG29" s="6">
        <f t="shared" si="34"/>
        <v>4.3621638203338392E-2</v>
      </c>
      <c r="CT29" s="93"/>
      <c r="CU29" s="93"/>
      <c r="CV29" s="93"/>
      <c r="CW29" s="93"/>
      <c r="CY29" t="s">
        <v>317</v>
      </c>
      <c r="DL29" s="34">
        <f t="shared" si="35"/>
        <v>220</v>
      </c>
      <c r="DM29" s="6">
        <f t="shared" si="36"/>
        <v>4.3621638203338392E-2</v>
      </c>
    </row>
    <row r="30" spans="2:117" x14ac:dyDescent="0.25">
      <c r="B30" s="6">
        <f t="shared" si="59"/>
        <v>1730</v>
      </c>
      <c r="C30" s="5">
        <v>41932</v>
      </c>
      <c r="D30" s="6" t="s">
        <v>347</v>
      </c>
      <c r="E30" s="6">
        <v>600</v>
      </c>
      <c r="F30" s="6">
        <f t="shared" si="19"/>
        <v>151</v>
      </c>
      <c r="G30" s="6">
        <v>151</v>
      </c>
      <c r="H30" s="6">
        <v>150</v>
      </c>
      <c r="J30" s="6">
        <v>150</v>
      </c>
      <c r="K30" s="6">
        <v>19</v>
      </c>
      <c r="L30" s="83">
        <f t="shared" si="39"/>
        <v>0.12352941176470589</v>
      </c>
      <c r="M30" s="88">
        <f t="shared" si="47"/>
        <v>0.87647058823529411</v>
      </c>
      <c r="N30" s="6">
        <f t="shared" si="51"/>
        <v>0.73777440567524932</v>
      </c>
      <c r="O30" s="6">
        <f t="shared" si="52"/>
        <v>5.0106352940962555</v>
      </c>
      <c r="P30" s="6">
        <f t="shared" si="53"/>
        <v>8.0952380952380949</v>
      </c>
      <c r="Q30" s="6">
        <f t="shared" si="54"/>
        <v>0.73777440567524932</v>
      </c>
      <c r="R30" s="6">
        <f t="shared" si="55"/>
        <v>5.0106352940962555</v>
      </c>
      <c r="S30" s="6">
        <f t="shared" si="56"/>
        <v>25.106466050443068</v>
      </c>
      <c r="T30" s="6">
        <f t="shared" si="57"/>
        <v>3.6967184761572929</v>
      </c>
      <c r="U30" s="6">
        <f t="shared" si="48"/>
        <v>0.10912653115816336</v>
      </c>
      <c r="X30" s="34">
        <f t="shared" si="58"/>
        <v>170</v>
      </c>
      <c r="Y30" s="6">
        <f t="shared" si="49"/>
        <v>7.1452902957048217E-2</v>
      </c>
      <c r="AP30" t="s">
        <v>288</v>
      </c>
      <c r="AS30"/>
      <c r="AT30"/>
      <c r="AU30"/>
      <c r="AV30"/>
      <c r="AW30"/>
      <c r="AX30"/>
      <c r="AY30"/>
      <c r="AZ30"/>
      <c r="BA30"/>
      <c r="BD30" s="34">
        <f t="shared" si="37"/>
        <v>230</v>
      </c>
      <c r="BE30" s="6">
        <f t="shared" si="33"/>
        <v>0.14270957515062613</v>
      </c>
      <c r="BR30" s="106" t="s">
        <v>315</v>
      </c>
      <c r="BU30"/>
      <c r="BV30"/>
      <c r="BW30"/>
      <c r="BX30"/>
      <c r="BY30"/>
      <c r="BZ30"/>
      <c r="CA30"/>
      <c r="CB30"/>
      <c r="CC30"/>
      <c r="CF30" s="34">
        <f t="shared" si="38"/>
        <v>230</v>
      </c>
      <c r="CG30" s="6">
        <f t="shared" si="34"/>
        <v>3.5428596162622707E-2</v>
      </c>
      <c r="CX30" t="s">
        <v>318</v>
      </c>
      <c r="CY30" s="107">
        <f>DG14</f>
        <v>109.57061403542154</v>
      </c>
      <c r="CZ30" s="107">
        <f>DF14</f>
        <v>23.454009729248092</v>
      </c>
      <c r="DA30" s="108" t="s">
        <v>319</v>
      </c>
      <c r="DB30" s="107">
        <f>DH14</f>
        <v>-2.193439108633795</v>
      </c>
      <c r="DL30" s="34">
        <f t="shared" si="35"/>
        <v>230</v>
      </c>
      <c r="DM30" s="6">
        <f t="shared" si="36"/>
        <v>3.5428596162622707E-2</v>
      </c>
    </row>
    <row r="31" spans="2:117" x14ac:dyDescent="0.25">
      <c r="B31" s="6">
        <f>DAYS360("31-12-2009",C31)</f>
        <v>1865</v>
      </c>
      <c r="C31" s="5">
        <v>42068</v>
      </c>
      <c r="D31" s="6" t="s">
        <v>347</v>
      </c>
      <c r="E31" s="30">
        <v>50</v>
      </c>
      <c r="F31" s="6">
        <f t="shared" si="19"/>
        <v>136</v>
      </c>
      <c r="G31" s="6">
        <v>136</v>
      </c>
      <c r="H31" s="6">
        <v>151</v>
      </c>
      <c r="J31" s="6">
        <v>151</v>
      </c>
      <c r="K31" s="6">
        <v>20</v>
      </c>
      <c r="L31" s="83">
        <f t="shared" si="39"/>
        <v>7.6470588235294124E-2</v>
      </c>
      <c r="M31" s="88">
        <f t="shared" si="47"/>
        <v>0.92352941176470593</v>
      </c>
      <c r="N31" s="6">
        <f t="shared" si="51"/>
        <v>0.94423622550621755</v>
      </c>
      <c r="O31" s="6">
        <f t="shared" si="52"/>
        <v>5.0172798368149243</v>
      </c>
      <c r="P31" s="6">
        <f t="shared" si="53"/>
        <v>13.076923076923077</v>
      </c>
      <c r="Q31" s="6">
        <f t="shared" si="54"/>
        <v>0.94423622550621755</v>
      </c>
      <c r="R31" s="6">
        <f t="shared" si="55"/>
        <v>5.0172798368149243</v>
      </c>
      <c r="S31" s="6">
        <f t="shared" si="56"/>
        <v>25.173096960909593</v>
      </c>
      <c r="T31" s="6">
        <f t="shared" si="57"/>
        <v>4.7374973754225751</v>
      </c>
      <c r="U31" s="6">
        <f t="shared" si="48"/>
        <v>0.10689429482950648</v>
      </c>
      <c r="X31" s="34">
        <f t="shared" si="58"/>
        <v>180</v>
      </c>
      <c r="Y31" s="6">
        <f t="shared" si="49"/>
        <v>5.7374301797381566E-2</v>
      </c>
      <c r="AS31"/>
      <c r="AT31"/>
      <c r="AU31"/>
      <c r="AV31"/>
      <c r="AW31"/>
      <c r="AX31"/>
      <c r="AY31"/>
      <c r="AZ31"/>
      <c r="BA31"/>
      <c r="BD31" s="34">
        <f t="shared" si="37"/>
        <v>240</v>
      </c>
      <c r="BE31" s="6">
        <f t="shared" si="33"/>
        <v>0.13018961305936361</v>
      </c>
      <c r="BU31"/>
      <c r="BV31"/>
      <c r="BW31"/>
      <c r="BX31"/>
      <c r="BY31"/>
      <c r="BZ31"/>
      <c r="CA31"/>
      <c r="CB31"/>
      <c r="CC31"/>
      <c r="CF31" s="34">
        <f t="shared" si="38"/>
        <v>240</v>
      </c>
      <c r="CG31" s="6">
        <f t="shared" si="34"/>
        <v>2.8657209420100936E-2</v>
      </c>
      <c r="CT31" s="94"/>
      <c r="CU31" s="94"/>
      <c r="CV31" s="94"/>
      <c r="CW31" s="114"/>
      <c r="CY31" s="107">
        <f>DF14</f>
        <v>23.454009729248092</v>
      </c>
      <c r="CZ31" s="107">
        <f>CZ14</f>
        <v>6</v>
      </c>
      <c r="DB31" s="107">
        <f>DE14</f>
        <v>-3.0683055582143735</v>
      </c>
      <c r="DC31" s="16"/>
      <c r="DL31" s="34">
        <f t="shared" si="35"/>
        <v>240</v>
      </c>
      <c r="DM31" s="6">
        <f t="shared" si="36"/>
        <v>2.8657209420100936E-2</v>
      </c>
    </row>
    <row r="32" spans="2:117" x14ac:dyDescent="0.25">
      <c r="B32" s="6">
        <f>DAYS360("31-12-2009",C32)</f>
        <v>1890</v>
      </c>
      <c r="C32" s="5">
        <v>42093</v>
      </c>
      <c r="D32" s="6" t="s">
        <v>347</v>
      </c>
      <c r="E32" s="30">
        <v>20</v>
      </c>
      <c r="F32" s="6">
        <f t="shared" si="19"/>
        <v>25</v>
      </c>
      <c r="G32" s="6">
        <v>25</v>
      </c>
      <c r="H32" s="6">
        <v>314</v>
      </c>
      <c r="J32" s="6">
        <v>314</v>
      </c>
      <c r="K32" s="6">
        <v>21</v>
      </c>
      <c r="L32" s="83">
        <f t="shared" si="39"/>
        <v>2.9411764705882353E-2</v>
      </c>
      <c r="M32" s="88">
        <f t="shared" si="47"/>
        <v>0.97058823529411764</v>
      </c>
      <c r="N32" s="6">
        <f t="shared" si="51"/>
        <v>1.260266326229238</v>
      </c>
      <c r="O32" s="6">
        <f t="shared" si="52"/>
        <v>5.7493929859082531</v>
      </c>
      <c r="P32" s="6">
        <f t="shared" si="53"/>
        <v>34</v>
      </c>
      <c r="Q32" s="6">
        <f t="shared" si="54"/>
        <v>1.260266326229238</v>
      </c>
      <c r="R32" s="6">
        <f t="shared" si="55"/>
        <v>5.7493929859082531</v>
      </c>
      <c r="S32" s="6">
        <f t="shared" si="56"/>
        <v>33.055519706411019</v>
      </c>
      <c r="T32" s="6">
        <f t="shared" si="57"/>
        <v>7.245766376398743</v>
      </c>
      <c r="U32" s="6">
        <f t="shared" si="48"/>
        <v>1.9881819121240303E-3</v>
      </c>
      <c r="X32" s="34">
        <f t="shared" si="58"/>
        <v>190</v>
      </c>
      <c r="Y32" s="6">
        <f t="shared" si="49"/>
        <v>4.5844314555358236E-2</v>
      </c>
      <c r="AP32" t="s">
        <v>289</v>
      </c>
      <c r="AS32"/>
      <c r="AT32"/>
      <c r="AU32"/>
      <c r="AV32"/>
      <c r="AW32"/>
      <c r="AX32"/>
      <c r="AY32"/>
      <c r="AZ32"/>
      <c r="BA32"/>
      <c r="BD32" s="34">
        <f t="shared" si="37"/>
        <v>250</v>
      </c>
      <c r="BE32" s="6">
        <f t="shared" si="33"/>
        <v>0.11873034907851433</v>
      </c>
      <c r="BR32" t="s">
        <v>316</v>
      </c>
      <c r="BU32"/>
      <c r="BV32"/>
      <c r="BW32"/>
      <c r="BX32"/>
      <c r="BY32"/>
      <c r="BZ32"/>
      <c r="CA32"/>
      <c r="CB32"/>
      <c r="CC32"/>
      <c r="CF32" s="34">
        <f t="shared" si="38"/>
        <v>250</v>
      </c>
      <c r="CG32" s="6">
        <f t="shared" si="34"/>
        <v>2.3087828963585685E-2</v>
      </c>
      <c r="DC32" s="16"/>
      <c r="DL32" s="34">
        <f t="shared" si="35"/>
        <v>250</v>
      </c>
      <c r="DM32" s="6">
        <f t="shared" si="36"/>
        <v>2.3087828963585685E-2</v>
      </c>
    </row>
    <row r="33" spans="2:117" x14ac:dyDescent="0.25">
      <c r="B33" s="6">
        <f>DAYS360("31-12-2009",C33)</f>
        <v>655</v>
      </c>
      <c r="C33" s="5">
        <v>40841</v>
      </c>
      <c r="D33" s="6" t="s">
        <v>348</v>
      </c>
      <c r="E33" s="33">
        <v>180</v>
      </c>
      <c r="F33" s="79" t="s">
        <v>279</v>
      </c>
      <c r="G33" s="79" t="s">
        <v>279</v>
      </c>
      <c r="H33" s="79" t="s">
        <v>279</v>
      </c>
      <c r="X33" s="34">
        <f t="shared" si="58"/>
        <v>200</v>
      </c>
      <c r="Y33" s="6">
        <f t="shared" si="49"/>
        <v>3.6457961323358469E-2</v>
      </c>
      <c r="AS33"/>
      <c r="AT33"/>
      <c r="AU33"/>
      <c r="AV33"/>
      <c r="AW33"/>
      <c r="AX33"/>
      <c r="AY33"/>
      <c r="AZ33"/>
      <c r="BA33"/>
      <c r="BD33" s="34">
        <f t="shared" si="37"/>
        <v>260</v>
      </c>
      <c r="BE33" s="6">
        <f t="shared" si="33"/>
        <v>0.10824663535298999</v>
      </c>
      <c r="BU33"/>
      <c r="BV33"/>
      <c r="BW33"/>
      <c r="BX33"/>
      <c r="BY33"/>
      <c r="BZ33"/>
      <c r="CA33"/>
      <c r="CB33"/>
      <c r="CC33"/>
      <c r="CF33" s="34">
        <f t="shared" si="38"/>
        <v>260</v>
      </c>
      <c r="CG33" s="6">
        <f t="shared" si="34"/>
        <v>1.852849807184629E-2</v>
      </c>
      <c r="CX33" t="s">
        <v>322</v>
      </c>
      <c r="DC33" s="16"/>
      <c r="DL33" s="34">
        <f t="shared" si="35"/>
        <v>260</v>
      </c>
      <c r="DM33" s="6">
        <f t="shared" si="36"/>
        <v>1.852849807184629E-2</v>
      </c>
    </row>
    <row r="34" spans="2:117" x14ac:dyDescent="0.25">
      <c r="B34" s="6">
        <f>DAYS360("31-12-2009",C34)</f>
        <v>1105</v>
      </c>
      <c r="C34" s="5">
        <v>41299</v>
      </c>
      <c r="D34" s="6" t="s">
        <v>348</v>
      </c>
      <c r="E34" s="33">
        <v>360</v>
      </c>
      <c r="F34" s="6">
        <f>C34-C33</f>
        <v>458</v>
      </c>
      <c r="G34" s="6">
        <v>458</v>
      </c>
      <c r="H34" s="6">
        <v>458</v>
      </c>
      <c r="K34" s="80" t="s">
        <v>285</v>
      </c>
      <c r="L34" s="81">
        <f>COUNT(K7:K32)</f>
        <v>21</v>
      </c>
      <c r="M34" s="114"/>
      <c r="N34" s="114"/>
      <c r="O34"/>
      <c r="P34" s="80" t="s">
        <v>325</v>
      </c>
      <c r="Q34">
        <f>SUM(Q12:Q32)</f>
        <v>-11.58943734531795</v>
      </c>
      <c r="R34">
        <f>SUM(R12:R32)</f>
        <v>84.980088898181037</v>
      </c>
      <c r="S34">
        <f>SUM(S12:S32)</f>
        <v>356.93879768776469</v>
      </c>
      <c r="T34">
        <f>SUM(T12:T32)</f>
        <v>-28.656609263522384</v>
      </c>
      <c r="U34" s="114"/>
      <c r="X34" s="34">
        <f t="shared" si="58"/>
        <v>210</v>
      </c>
      <c r="Y34" s="6">
        <f t="shared" si="49"/>
        <v>2.8860301205819977E-2</v>
      </c>
      <c r="AP34" t="s">
        <v>290</v>
      </c>
      <c r="AS34"/>
      <c r="AT34"/>
      <c r="AU34"/>
      <c r="AV34"/>
      <c r="AW34"/>
      <c r="AX34"/>
      <c r="AY34"/>
      <c r="AZ34"/>
      <c r="BA34"/>
      <c r="BD34" s="34">
        <f t="shared" si="37"/>
        <v>270</v>
      </c>
      <c r="BE34" s="6">
        <f t="shared" si="33"/>
        <v>9.8659523370744295E-2</v>
      </c>
      <c r="BS34" t="s">
        <v>317</v>
      </c>
      <c r="BU34"/>
      <c r="BV34"/>
      <c r="BW34"/>
      <c r="BX34"/>
      <c r="BY34"/>
      <c r="BZ34"/>
      <c r="CA34"/>
      <c r="CB34"/>
      <c r="CC34"/>
      <c r="CF34" s="34">
        <f t="shared" si="38"/>
        <v>270</v>
      </c>
      <c r="CG34" s="6">
        <f t="shared" si="34"/>
        <v>1.4812951498072838E-2</v>
      </c>
      <c r="DC34" s="16"/>
      <c r="DL34" s="34">
        <f t="shared" si="35"/>
        <v>270</v>
      </c>
      <c r="DM34" s="6">
        <f t="shared" si="36"/>
        <v>1.4812951498072838E-2</v>
      </c>
    </row>
    <row r="35" spans="2:117" x14ac:dyDescent="0.25">
      <c r="B35" s="6">
        <f>DAYS360("31-12-2009",C35)</f>
        <v>53</v>
      </c>
      <c r="C35" s="5">
        <v>40232</v>
      </c>
      <c r="D35" s="6" t="s">
        <v>349</v>
      </c>
      <c r="E35" s="34">
        <v>180</v>
      </c>
      <c r="F35" s="79" t="s">
        <v>279</v>
      </c>
      <c r="G35" s="79" t="s">
        <v>279</v>
      </c>
      <c r="H35" s="79" t="s">
        <v>279</v>
      </c>
      <c r="X35" s="34">
        <f>X34+10</f>
        <v>220</v>
      </c>
      <c r="Y35" s="6">
        <f t="shared" si="49"/>
        <v>2.2744104343955927E-2</v>
      </c>
      <c r="AP35" t="s">
        <v>291</v>
      </c>
      <c r="AS35"/>
      <c r="AT35"/>
      <c r="AU35"/>
      <c r="AV35"/>
      <c r="AW35"/>
      <c r="AX35"/>
      <c r="AY35"/>
      <c r="AZ35"/>
      <c r="BA35"/>
      <c r="BD35" s="34">
        <f>BD34+10</f>
        <v>280</v>
      </c>
      <c r="BE35" s="6">
        <f t="shared" si="33"/>
        <v>8.9895908260792953E-2</v>
      </c>
      <c r="BR35" t="s">
        <v>318</v>
      </c>
      <c r="BS35" s="107">
        <f>CA19</f>
        <v>203.1560071539393</v>
      </c>
      <c r="BT35" s="107">
        <f>BZ19</f>
        <v>46.5777482206773</v>
      </c>
      <c r="BU35" s="108" t="s">
        <v>319</v>
      </c>
      <c r="BV35" s="107">
        <f>CB19</f>
        <v>-16.355628132104069</v>
      </c>
      <c r="BW35"/>
      <c r="BX35"/>
      <c r="BY35"/>
      <c r="BZ35"/>
      <c r="CA35"/>
      <c r="CB35"/>
      <c r="CC35"/>
      <c r="CF35" s="34">
        <f>CF34+10</f>
        <v>280</v>
      </c>
      <c r="CG35" s="6">
        <f t="shared" si="34"/>
        <v>1.1798355612214467E-2</v>
      </c>
      <c r="CX35" t="s">
        <v>318</v>
      </c>
      <c r="CY35" s="107">
        <f t="array" ref="CY35:CZ36">MINVERSE(CY30:CZ31)</f>
        <v>5.5900736478627082E-2</v>
      </c>
      <c r="CZ35" s="107">
        <v>-0.21851606954030886</v>
      </c>
      <c r="DL35" s="34">
        <f t="shared" si="35"/>
        <v>280</v>
      </c>
      <c r="DM35" s="6">
        <f t="shared" si="36"/>
        <v>1.1798355612214467E-2</v>
      </c>
    </row>
    <row r="36" spans="2:117" x14ac:dyDescent="0.25">
      <c r="B36" s="6">
        <f t="shared" ref="B36:B37" si="60">DAYS360("31-12-2009",C36)</f>
        <v>97</v>
      </c>
      <c r="C36" s="5">
        <v>40275</v>
      </c>
      <c r="D36" s="6" t="s">
        <v>349</v>
      </c>
      <c r="E36" s="34">
        <v>120</v>
      </c>
      <c r="F36" s="6">
        <f>C36-C35</f>
        <v>43</v>
      </c>
      <c r="G36" s="44">
        <v>43</v>
      </c>
      <c r="H36" s="89">
        <v>1</v>
      </c>
      <c r="J36" t="s">
        <v>294</v>
      </c>
      <c r="M36"/>
      <c r="N36"/>
      <c r="O36"/>
      <c r="P36"/>
      <c r="Q36"/>
      <c r="R36"/>
      <c r="S36"/>
      <c r="T36"/>
      <c r="U36"/>
      <c r="X36" s="34">
        <f t="shared" si="58"/>
        <v>230</v>
      </c>
      <c r="Y36" s="6">
        <f t="shared" si="49"/>
        <v>1.784637334799509E-2</v>
      </c>
      <c r="AS36"/>
      <c r="AT36"/>
      <c r="AU36"/>
      <c r="AV36"/>
      <c r="AW36"/>
      <c r="AX36"/>
      <c r="AY36"/>
      <c r="AZ36"/>
      <c r="BA36"/>
      <c r="BD36" s="34">
        <f t="shared" si="37"/>
        <v>290</v>
      </c>
      <c r="BE36" s="6">
        <f t="shared" si="33"/>
        <v>8.1888176565909701E-2</v>
      </c>
      <c r="BS36" s="107">
        <f>BZ19</f>
        <v>46.5777482206773</v>
      </c>
      <c r="BT36" s="107">
        <f>BT19</f>
        <v>11</v>
      </c>
      <c r="BU36"/>
      <c r="BV36" s="107">
        <f>BY19</f>
        <v>-5.8885351505633636</v>
      </c>
      <c r="BW36" s="16"/>
      <c r="BX36"/>
      <c r="BY36"/>
      <c r="BZ36"/>
      <c r="CA36"/>
      <c r="CB36"/>
      <c r="CC36"/>
      <c r="CF36" s="34">
        <f t="shared" si="38"/>
        <v>290</v>
      </c>
      <c r="CG36" s="6">
        <f t="shared" si="34"/>
        <v>9.3629386445683079E-3</v>
      </c>
      <c r="CY36" s="107">
        <v>-0.21851606954030889</v>
      </c>
      <c r="CZ36" s="107">
        <v>1.0208463368325762</v>
      </c>
      <c r="DL36" s="34">
        <f t="shared" si="35"/>
        <v>290</v>
      </c>
      <c r="DM36" s="6">
        <f t="shared" si="36"/>
        <v>9.3629386445683079E-3</v>
      </c>
    </row>
    <row r="37" spans="2:117" x14ac:dyDescent="0.25">
      <c r="B37" s="6">
        <f t="shared" si="60"/>
        <v>268</v>
      </c>
      <c r="C37" s="5">
        <v>40449</v>
      </c>
      <c r="D37" s="6" t="s">
        <v>349</v>
      </c>
      <c r="E37" s="34">
        <v>120</v>
      </c>
      <c r="F37" s="6">
        <f t="shared" ref="F37:F58" si="61">C37-C36</f>
        <v>174</v>
      </c>
      <c r="G37" s="89">
        <v>174</v>
      </c>
      <c r="H37" s="44">
        <v>1</v>
      </c>
      <c r="M37"/>
      <c r="N37"/>
      <c r="O37"/>
      <c r="P37"/>
      <c r="Q37"/>
      <c r="R37"/>
      <c r="S37"/>
      <c r="T37"/>
      <c r="U37"/>
      <c r="X37" s="34">
        <f t="shared" si="58"/>
        <v>240</v>
      </c>
      <c r="Y37" s="6">
        <f t="shared" si="49"/>
        <v>1.3944217403798701E-2</v>
      </c>
      <c r="AP37" s="106" t="s">
        <v>315</v>
      </c>
      <c r="AS37"/>
      <c r="AT37"/>
      <c r="AU37"/>
      <c r="AV37"/>
      <c r="AW37"/>
      <c r="AX37"/>
      <c r="AY37"/>
      <c r="AZ37"/>
      <c r="BA37"/>
      <c r="BD37" s="34">
        <f t="shared" si="37"/>
        <v>300</v>
      </c>
      <c r="BE37" s="6">
        <f t="shared" si="33"/>
        <v>7.4573861488705526E-2</v>
      </c>
      <c r="BU37"/>
      <c r="BV37"/>
      <c r="BW37" s="16"/>
      <c r="BX37"/>
      <c r="BY37"/>
      <c r="BZ37"/>
      <c r="CA37"/>
      <c r="CB37"/>
      <c r="CC37"/>
      <c r="CF37" s="34">
        <f t="shared" si="38"/>
        <v>300</v>
      </c>
      <c r="CG37" s="6">
        <f t="shared" si="34"/>
        <v>7.4036223660119468E-3</v>
      </c>
      <c r="DL37" s="34">
        <f>DL36+10</f>
        <v>300</v>
      </c>
      <c r="DM37" s="6">
        <f t="shared" si="36"/>
        <v>7.4036223660119468E-3</v>
      </c>
    </row>
    <row r="38" spans="2:117" x14ac:dyDescent="0.25">
      <c r="B38" s="6">
        <f t="shared" ref="B38:B46" si="62">DAYS360("31-12-2009",C38)</f>
        <v>380</v>
      </c>
      <c r="C38" s="5">
        <v>40563</v>
      </c>
      <c r="D38" s="6" t="s">
        <v>349</v>
      </c>
      <c r="E38" s="33">
        <v>60</v>
      </c>
      <c r="F38" s="6">
        <f t="shared" si="61"/>
        <v>114</v>
      </c>
      <c r="G38" s="44">
        <v>114</v>
      </c>
      <c r="H38" s="89">
        <v>4</v>
      </c>
      <c r="J38" t="s">
        <v>288</v>
      </c>
      <c r="M38"/>
      <c r="N38"/>
      <c r="O38"/>
      <c r="P38"/>
      <c r="Q38"/>
      <c r="R38"/>
      <c r="S38"/>
      <c r="T38"/>
      <c r="U38"/>
      <c r="X38" s="34">
        <f t="shared" si="58"/>
        <v>250</v>
      </c>
      <c r="Y38" s="6">
        <f t="shared" si="49"/>
        <v>1.0850453028481238E-2</v>
      </c>
      <c r="AS38"/>
      <c r="AT38"/>
      <c r="AU38"/>
      <c r="AV38"/>
      <c r="AW38"/>
      <c r="AX38"/>
      <c r="AY38"/>
      <c r="AZ38"/>
      <c r="BA38"/>
      <c r="BD38" s="34">
        <f t="shared" si="37"/>
        <v>310</v>
      </c>
      <c r="BE38" s="6">
        <f t="shared" si="33"/>
        <v>6.7895308520909678E-2</v>
      </c>
      <c r="BR38" t="s">
        <v>322</v>
      </c>
      <c r="BU38"/>
      <c r="BV38"/>
      <c r="BW38" s="16"/>
      <c r="BX38"/>
      <c r="BY38"/>
      <c r="BZ38"/>
      <c r="CA38"/>
      <c r="CB38"/>
      <c r="CC38"/>
      <c r="CF38" s="34">
        <f t="shared" si="38"/>
        <v>310</v>
      </c>
      <c r="CG38" s="6">
        <f t="shared" si="34"/>
        <v>5.8337350598952117E-3</v>
      </c>
      <c r="CX38" t="s">
        <v>323</v>
      </c>
      <c r="DL38" s="34">
        <f t="shared" si="35"/>
        <v>310</v>
      </c>
      <c r="DM38" s="6">
        <f t="shared" si="36"/>
        <v>5.8337350598952117E-3</v>
      </c>
    </row>
    <row r="39" spans="2:117" x14ac:dyDescent="0.25">
      <c r="B39" s="6">
        <f t="shared" si="62"/>
        <v>381</v>
      </c>
      <c r="C39" s="5">
        <v>40564</v>
      </c>
      <c r="D39" s="6" t="s">
        <v>349</v>
      </c>
      <c r="E39" s="33">
        <v>60</v>
      </c>
      <c r="F39" s="6">
        <f t="shared" si="61"/>
        <v>1</v>
      </c>
      <c r="G39" s="89">
        <v>1</v>
      </c>
      <c r="H39" s="89">
        <v>4</v>
      </c>
      <c r="M39"/>
      <c r="N39"/>
      <c r="O39"/>
      <c r="P39"/>
      <c r="Q39"/>
      <c r="R39"/>
      <c r="S39"/>
      <c r="T39"/>
      <c r="U39"/>
      <c r="X39" s="34">
        <f t="shared" si="58"/>
        <v>260</v>
      </c>
      <c r="Y39" s="6">
        <f t="shared" si="49"/>
        <v>8.4091996432636273E-3</v>
      </c>
      <c r="AP39" t="s">
        <v>316</v>
      </c>
      <c r="AS39"/>
      <c r="AT39"/>
      <c r="AU39"/>
      <c r="AV39"/>
      <c r="AW39"/>
      <c r="AX39"/>
      <c r="AY39"/>
      <c r="AZ39"/>
      <c r="BA39"/>
      <c r="BD39" s="34">
        <f t="shared" si="37"/>
        <v>320</v>
      </c>
      <c r="BE39" s="6">
        <f t="shared" si="33"/>
        <v>6.1799353516736523E-2</v>
      </c>
      <c r="BU39"/>
      <c r="BV39"/>
      <c r="BW39" s="16"/>
      <c r="BX39"/>
      <c r="BY39"/>
      <c r="BZ39"/>
      <c r="CA39"/>
      <c r="CB39"/>
      <c r="CC39"/>
    </row>
    <row r="40" spans="2:117" x14ac:dyDescent="0.25">
      <c r="B40" s="6">
        <f t="shared" si="62"/>
        <v>415</v>
      </c>
      <c r="C40" s="5">
        <v>40599</v>
      </c>
      <c r="D40" s="6" t="s">
        <v>349</v>
      </c>
      <c r="E40" s="33">
        <f>8*60</f>
        <v>480</v>
      </c>
      <c r="F40" s="6">
        <f t="shared" si="61"/>
        <v>35</v>
      </c>
      <c r="G40" s="44">
        <v>35</v>
      </c>
      <c r="H40" s="89">
        <v>9</v>
      </c>
      <c r="J40" t="s">
        <v>289</v>
      </c>
      <c r="M40"/>
      <c r="N40"/>
      <c r="O40"/>
      <c r="P40"/>
      <c r="Q40"/>
      <c r="R40"/>
      <c r="S40"/>
      <c r="T40"/>
      <c r="U40"/>
      <c r="X40" s="34">
        <f t="shared" si="58"/>
        <v>270</v>
      </c>
      <c r="Y40" s="6">
        <f t="shared" si="49"/>
        <v>6.4916534528799523E-3</v>
      </c>
      <c r="AS40"/>
      <c r="AT40"/>
      <c r="AU40"/>
      <c r="AV40"/>
      <c r="AW40"/>
      <c r="AX40"/>
      <c r="AY40"/>
      <c r="AZ40"/>
      <c r="BA40"/>
      <c r="BD40" s="34">
        <f t="shared" si="37"/>
        <v>330</v>
      </c>
      <c r="BE40" s="6">
        <f t="shared" si="33"/>
        <v>5.6237014608754778E-2</v>
      </c>
      <c r="BR40" t="s">
        <v>318</v>
      </c>
      <c r="BS40" s="107">
        <f t="array" ref="BS40:BT41">MINVERSE(BS35:BT36)</f>
        <v>0.16863548755647867</v>
      </c>
      <c r="BT40" s="107">
        <v>-0.71406011640698397</v>
      </c>
      <c r="BU40"/>
      <c r="BV40"/>
      <c r="BW40"/>
      <c r="BX40"/>
      <c r="BY40"/>
      <c r="BZ40"/>
      <c r="CA40"/>
      <c r="CB40"/>
      <c r="CC40"/>
      <c r="CF40" s="16" t="s">
        <v>324</v>
      </c>
      <c r="CX40" t="s">
        <v>318</v>
      </c>
      <c r="CY40" s="107">
        <f t="array" ref="CY40:CY41">MMULT(CY35:CZ36,DB30:DB31)</f>
        <v>0.54785920913603581</v>
      </c>
      <c r="DL40" s="16" t="s">
        <v>324</v>
      </c>
    </row>
    <row r="41" spans="2:117" x14ac:dyDescent="0.25">
      <c r="B41" s="6">
        <f t="shared" si="62"/>
        <v>421</v>
      </c>
      <c r="C41" s="5">
        <v>40603</v>
      </c>
      <c r="D41" s="6" t="s">
        <v>349</v>
      </c>
      <c r="E41" s="33">
        <v>240</v>
      </c>
      <c r="F41" s="6">
        <f t="shared" si="61"/>
        <v>4</v>
      </c>
      <c r="G41" s="89">
        <v>4</v>
      </c>
      <c r="H41" s="89">
        <v>11</v>
      </c>
      <c r="M41"/>
      <c r="N41"/>
      <c r="O41"/>
      <c r="P41"/>
      <c r="Q41"/>
      <c r="R41"/>
      <c r="S41"/>
      <c r="T41"/>
      <c r="U41"/>
      <c r="X41" s="34">
        <f>X40+10</f>
        <v>280</v>
      </c>
      <c r="Y41" s="6">
        <f t="shared" si="49"/>
        <v>4.9921569334888801E-3</v>
      </c>
      <c r="AQ41" t="s">
        <v>317</v>
      </c>
      <c r="AS41"/>
      <c r="AT41"/>
      <c r="AU41"/>
      <c r="AV41"/>
      <c r="AW41"/>
      <c r="AX41"/>
      <c r="AY41"/>
      <c r="AZ41"/>
      <c r="BA41"/>
      <c r="BS41" s="107">
        <v>-0.71406011640698397</v>
      </c>
      <c r="BT41" s="107">
        <v>3.1144829378574568</v>
      </c>
      <c r="BU41"/>
      <c r="BV41"/>
      <c r="BW41"/>
      <c r="BX41"/>
      <c r="BY41"/>
      <c r="BZ41"/>
      <c r="CA41"/>
      <c r="CB41"/>
      <c r="CC41"/>
      <c r="CY41" s="107">
        <v>-2.6529667965915205</v>
      </c>
    </row>
    <row r="42" spans="2:117" x14ac:dyDescent="0.25">
      <c r="B42" s="6">
        <f t="shared" si="62"/>
        <v>436</v>
      </c>
      <c r="C42" s="5">
        <v>40618</v>
      </c>
      <c r="D42" s="6" t="s">
        <v>349</v>
      </c>
      <c r="E42" s="33">
        <v>30</v>
      </c>
      <c r="F42" s="6">
        <f t="shared" si="61"/>
        <v>15</v>
      </c>
      <c r="G42" s="44">
        <v>15</v>
      </c>
      <c r="H42" s="44">
        <v>15</v>
      </c>
      <c r="J42" t="s">
        <v>290</v>
      </c>
      <c r="M42"/>
      <c r="N42"/>
      <c r="O42"/>
      <c r="P42"/>
      <c r="Q42"/>
      <c r="R42"/>
      <c r="S42"/>
      <c r="T42"/>
      <c r="U42"/>
      <c r="X42" s="34">
        <f t="shared" si="58"/>
        <v>290</v>
      </c>
      <c r="Y42" s="6">
        <f t="shared" si="49"/>
        <v>3.8246308218687786E-3</v>
      </c>
      <c r="AP42" t="s">
        <v>318</v>
      </c>
      <c r="AQ42" s="107">
        <f>AY26</f>
        <v>354.77625985900681</v>
      </c>
      <c r="AR42" s="107">
        <f>AX26</f>
        <v>77.689650866182177</v>
      </c>
      <c r="AS42" s="108" t="s">
        <v>319</v>
      </c>
      <c r="AT42" s="107">
        <f>AZ26</f>
        <v>-21.549258503170417</v>
      </c>
      <c r="AU42"/>
      <c r="AV42"/>
      <c r="AW42"/>
      <c r="AX42"/>
      <c r="AY42"/>
      <c r="AZ42"/>
      <c r="BA42"/>
      <c r="BD42" s="16" t="s">
        <v>324</v>
      </c>
      <c r="BU42"/>
      <c r="BV42"/>
      <c r="BW42"/>
      <c r="BX42"/>
      <c r="BY42"/>
      <c r="BZ42"/>
      <c r="CA42"/>
      <c r="CB42"/>
      <c r="CC42"/>
    </row>
    <row r="43" spans="2:117" x14ac:dyDescent="0.25">
      <c r="B43" s="6">
        <f t="shared" si="62"/>
        <v>732</v>
      </c>
      <c r="C43" s="5">
        <v>40920</v>
      </c>
      <c r="D43" s="30" t="s">
        <v>349</v>
      </c>
      <c r="E43" s="33">
        <v>60</v>
      </c>
      <c r="F43" s="6">
        <f t="shared" si="61"/>
        <v>302</v>
      </c>
      <c r="G43" s="89">
        <v>302</v>
      </c>
      <c r="H43" s="89">
        <v>16</v>
      </c>
      <c r="J43" t="s">
        <v>291</v>
      </c>
      <c r="M43"/>
      <c r="N43"/>
      <c r="O43"/>
      <c r="P43"/>
      <c r="Q43"/>
      <c r="R43"/>
      <c r="S43"/>
      <c r="T43"/>
      <c r="U43"/>
      <c r="X43" s="34">
        <f t="shared" si="58"/>
        <v>300</v>
      </c>
      <c r="Y43" s="6">
        <f t="shared" si="49"/>
        <v>2.9193982323760404E-3</v>
      </c>
      <c r="AQ43" s="107">
        <f>AX26</f>
        <v>77.689650866182177</v>
      </c>
      <c r="AR43" s="107">
        <f>AR26</f>
        <v>18</v>
      </c>
      <c r="AS43"/>
      <c r="AT43" s="107">
        <f>AW26</f>
        <v>-9.8748538042472198</v>
      </c>
      <c r="AU43" s="16"/>
      <c r="AV43"/>
      <c r="AW43"/>
      <c r="AX43"/>
      <c r="AY43"/>
      <c r="AZ43"/>
      <c r="BA43"/>
      <c r="BR43" t="s">
        <v>323</v>
      </c>
      <c r="BU43"/>
      <c r="BV43"/>
      <c r="BW43"/>
      <c r="BX43"/>
      <c r="BY43"/>
      <c r="BZ43"/>
      <c r="CA43"/>
      <c r="CB43"/>
      <c r="CC43"/>
      <c r="CX43" s="2" t="s">
        <v>320</v>
      </c>
      <c r="CY43" s="109">
        <f>EXP(-CY41/CY40)</f>
        <v>126.77633473120214</v>
      </c>
    </row>
    <row r="44" spans="2:117" x14ac:dyDescent="0.25">
      <c r="B44" s="6">
        <f t="shared" si="62"/>
        <v>858</v>
      </c>
      <c r="C44" s="5">
        <v>41047</v>
      </c>
      <c r="D44" s="30" t="s">
        <v>349</v>
      </c>
      <c r="E44" s="33">
        <v>30</v>
      </c>
      <c r="F44" s="6">
        <f t="shared" si="61"/>
        <v>127</v>
      </c>
      <c r="G44" s="44">
        <v>127</v>
      </c>
      <c r="H44" s="44">
        <v>19</v>
      </c>
      <c r="M44"/>
      <c r="N44"/>
      <c r="O44"/>
      <c r="P44"/>
      <c r="Q44"/>
      <c r="R44"/>
      <c r="S44"/>
      <c r="T44"/>
      <c r="U44"/>
      <c r="X44" s="34">
        <f t="shared" si="58"/>
        <v>310</v>
      </c>
      <c r="Y44" s="6">
        <f t="shared" si="49"/>
        <v>2.2204039561656086E-3</v>
      </c>
      <c r="AS44"/>
      <c r="AT44"/>
      <c r="AU44" s="16"/>
      <c r="AV44"/>
      <c r="AW44"/>
      <c r="AX44"/>
      <c r="AY44"/>
      <c r="AZ44"/>
      <c r="BA44"/>
      <c r="BU44"/>
      <c r="BV44"/>
      <c r="BW44"/>
      <c r="BX44"/>
      <c r="BY44"/>
      <c r="BZ44"/>
      <c r="CA44"/>
      <c r="CB44"/>
      <c r="CC44"/>
      <c r="CX44" s="2" t="s">
        <v>321</v>
      </c>
      <c r="CY44" s="109">
        <f>CY40</f>
        <v>0.54785920913603581</v>
      </c>
    </row>
    <row r="45" spans="2:117" x14ac:dyDescent="0.25">
      <c r="B45" s="6">
        <f t="shared" si="62"/>
        <v>909</v>
      </c>
      <c r="C45" s="5">
        <v>41099</v>
      </c>
      <c r="D45" s="30" t="s">
        <v>349</v>
      </c>
      <c r="E45" s="33">
        <v>60</v>
      </c>
      <c r="F45" s="6">
        <f t="shared" si="61"/>
        <v>52</v>
      </c>
      <c r="G45" s="89">
        <v>52</v>
      </c>
      <c r="H45" s="44">
        <v>35</v>
      </c>
      <c r="J45" s="106" t="s">
        <v>315</v>
      </c>
      <c r="M45"/>
      <c r="N45"/>
      <c r="O45"/>
      <c r="P45"/>
      <c r="Q45"/>
      <c r="R45"/>
      <c r="S45"/>
      <c r="T45"/>
      <c r="U45"/>
      <c r="AP45" t="s">
        <v>322</v>
      </c>
      <c r="AS45"/>
      <c r="AT45"/>
      <c r="AU45" s="16"/>
      <c r="AV45"/>
      <c r="AW45"/>
      <c r="AX45"/>
      <c r="AY45"/>
      <c r="AZ45"/>
      <c r="BA45"/>
      <c r="BR45" t="s">
        <v>318</v>
      </c>
      <c r="BS45" s="107">
        <f t="array" ref="BS45:BS46">MMULT(BS40:BT41,BV35:BV36)</f>
        <v>1.4466287707280645</v>
      </c>
      <c r="BU45"/>
      <c r="BV45"/>
      <c r="BW45"/>
      <c r="BX45"/>
      <c r="BY45"/>
      <c r="BZ45"/>
      <c r="CA45"/>
      <c r="CB45"/>
      <c r="CC45"/>
    </row>
    <row r="46" spans="2:117" x14ac:dyDescent="0.25">
      <c r="B46" s="6">
        <f t="shared" si="62"/>
        <v>993</v>
      </c>
      <c r="C46" s="5">
        <v>41185</v>
      </c>
      <c r="D46" s="30" t="s">
        <v>349</v>
      </c>
      <c r="E46" s="33">
        <v>120</v>
      </c>
      <c r="F46" s="6">
        <f t="shared" si="61"/>
        <v>86</v>
      </c>
      <c r="G46" s="44">
        <v>86</v>
      </c>
      <c r="H46" s="44">
        <v>43</v>
      </c>
      <c r="M46"/>
      <c r="N46"/>
      <c r="O46"/>
      <c r="P46"/>
      <c r="Q46"/>
      <c r="R46"/>
      <c r="S46"/>
      <c r="T46"/>
      <c r="U46"/>
      <c r="X46" s="16" t="s">
        <v>324</v>
      </c>
      <c r="AS46"/>
      <c r="AT46"/>
      <c r="AU46" s="16"/>
      <c r="AV46"/>
      <c r="AW46"/>
      <c r="AX46"/>
      <c r="AY46"/>
      <c r="AZ46"/>
      <c r="BA46"/>
      <c r="BS46" s="107">
        <v>-6.6608405274839129</v>
      </c>
      <c r="BU46"/>
      <c r="BV46"/>
      <c r="BW46"/>
      <c r="BX46"/>
      <c r="BY46"/>
      <c r="BZ46"/>
      <c r="CA46"/>
      <c r="CB46"/>
      <c r="CC46"/>
    </row>
    <row r="47" spans="2:117" x14ac:dyDescent="0.25">
      <c r="B47" s="6">
        <f t="shared" ref="B47:B53" si="63">DAYS360("31-12-2009",C47)</f>
        <v>1108</v>
      </c>
      <c r="C47" s="5">
        <v>41302</v>
      </c>
      <c r="D47" s="6" t="s">
        <v>349</v>
      </c>
      <c r="E47" s="33">
        <v>60</v>
      </c>
      <c r="F47" s="6">
        <f t="shared" si="61"/>
        <v>117</v>
      </c>
      <c r="G47" s="89">
        <v>117</v>
      </c>
      <c r="H47" s="89">
        <v>52</v>
      </c>
      <c r="J47" t="s">
        <v>316</v>
      </c>
      <c r="M47"/>
      <c r="N47"/>
      <c r="O47"/>
      <c r="P47"/>
      <c r="Q47"/>
      <c r="R47"/>
      <c r="S47"/>
      <c r="T47"/>
      <c r="U47"/>
      <c r="X47" s="16"/>
      <c r="AP47" t="s">
        <v>318</v>
      </c>
      <c r="AQ47" s="107">
        <f t="array" ref="AQ47:AR48">MINVERSE(AQ42:AR43)</f>
        <v>5.1385873327725824E-2</v>
      </c>
      <c r="AR47" s="107">
        <v>-0.22178614212693787</v>
      </c>
      <c r="AS47"/>
      <c r="AT47"/>
      <c r="AU47"/>
      <c r="AV47"/>
      <c r="AW47"/>
      <c r="AX47"/>
      <c r="AY47"/>
      <c r="AZ47"/>
      <c r="BA47"/>
      <c r="BD47" s="16"/>
      <c r="BU47"/>
      <c r="BV47"/>
      <c r="BW47"/>
      <c r="BX47"/>
      <c r="BY47"/>
      <c r="BZ47"/>
      <c r="CA47"/>
      <c r="CB47"/>
      <c r="CC47"/>
      <c r="CF47" s="16"/>
    </row>
    <row r="48" spans="2:117" x14ac:dyDescent="0.25">
      <c r="B48" s="6">
        <f t="shared" si="63"/>
        <v>1109</v>
      </c>
      <c r="C48" s="5">
        <v>41303</v>
      </c>
      <c r="D48" s="6" t="s">
        <v>349</v>
      </c>
      <c r="E48" s="33">
        <v>120</v>
      </c>
      <c r="F48" s="6">
        <f t="shared" si="61"/>
        <v>1</v>
      </c>
      <c r="G48" s="44">
        <v>1</v>
      </c>
      <c r="H48" s="44">
        <v>86</v>
      </c>
      <c r="M48"/>
      <c r="N48"/>
      <c r="O48"/>
      <c r="P48"/>
      <c r="Q48"/>
      <c r="R48"/>
      <c r="S48"/>
      <c r="T48"/>
      <c r="U48"/>
      <c r="X48" s="16"/>
      <c r="AQ48" s="107">
        <v>-0.2217861421269379</v>
      </c>
      <c r="AR48" s="107">
        <v>1.0128048860444034</v>
      </c>
      <c r="AS48"/>
      <c r="AT48"/>
      <c r="AU48"/>
      <c r="AV48"/>
      <c r="AW48"/>
      <c r="AX48"/>
      <c r="AY48"/>
      <c r="AZ48"/>
      <c r="BA48"/>
      <c r="BD48" s="16"/>
      <c r="BR48" s="2" t="s">
        <v>320</v>
      </c>
      <c r="BS48" s="109">
        <f>EXP(-BS46/BS45)</f>
        <v>99.921837892173642</v>
      </c>
      <c r="BU48"/>
      <c r="BV48"/>
      <c r="BW48"/>
      <c r="BX48"/>
      <c r="BY48"/>
      <c r="BZ48"/>
      <c r="CA48"/>
      <c r="CB48"/>
      <c r="CC48"/>
      <c r="CF48" s="16"/>
    </row>
    <row r="49" spans="2:113" x14ac:dyDescent="0.25">
      <c r="B49" s="6">
        <f t="shared" si="63"/>
        <v>1117</v>
      </c>
      <c r="C49" s="5">
        <v>41312</v>
      </c>
      <c r="D49" s="6" t="s">
        <v>349</v>
      </c>
      <c r="E49" s="33">
        <v>150</v>
      </c>
      <c r="F49" s="6">
        <f t="shared" si="61"/>
        <v>9</v>
      </c>
      <c r="G49" s="89">
        <v>9</v>
      </c>
      <c r="H49" s="44">
        <v>111</v>
      </c>
      <c r="K49" t="s">
        <v>317</v>
      </c>
      <c r="M49"/>
      <c r="N49"/>
      <c r="O49"/>
      <c r="P49"/>
      <c r="Q49"/>
      <c r="R49"/>
      <c r="S49"/>
      <c r="T49"/>
      <c r="U49"/>
      <c r="X49" s="16"/>
      <c r="AS49"/>
      <c r="AT49"/>
      <c r="AU49"/>
      <c r="AV49"/>
      <c r="AW49"/>
      <c r="AX49"/>
      <c r="AY49"/>
      <c r="AZ49"/>
      <c r="BA49"/>
      <c r="BD49" s="16"/>
      <c r="BR49" s="2" t="s">
        <v>321</v>
      </c>
      <c r="BS49" s="109">
        <f>BS45</f>
        <v>1.4466287707280645</v>
      </c>
      <c r="BU49"/>
      <c r="BV49"/>
      <c r="BW49"/>
      <c r="BX49"/>
      <c r="BY49"/>
      <c r="BZ49"/>
      <c r="CA49"/>
      <c r="CB49"/>
      <c r="CC49"/>
      <c r="CF49" s="16"/>
      <c r="DA49" s="60"/>
      <c r="DB49" s="60"/>
      <c r="DC49" s="60"/>
      <c r="DD49" s="60"/>
      <c r="DE49" s="60"/>
      <c r="DF49" s="60"/>
      <c r="DG49" s="60"/>
      <c r="DH49" s="60"/>
      <c r="DI49" s="60"/>
    </row>
    <row r="50" spans="2:113" x14ac:dyDescent="0.25">
      <c r="B50" s="6">
        <f t="shared" si="63"/>
        <v>1136</v>
      </c>
      <c r="C50" s="5">
        <v>41331</v>
      </c>
      <c r="D50" s="6" t="s">
        <v>349</v>
      </c>
      <c r="E50" s="33">
        <v>30</v>
      </c>
      <c r="F50" s="6">
        <f t="shared" si="61"/>
        <v>19</v>
      </c>
      <c r="G50" s="44">
        <v>19</v>
      </c>
      <c r="H50" s="44">
        <v>114</v>
      </c>
      <c r="J50" t="s">
        <v>318</v>
      </c>
      <c r="K50" s="107">
        <f>S34</f>
        <v>356.93879768776469</v>
      </c>
      <c r="L50" s="107">
        <f>R34</f>
        <v>84.980088898181037</v>
      </c>
      <c r="M50" s="108" t="s">
        <v>319</v>
      </c>
      <c r="N50" s="107">
        <f>T34</f>
        <v>-28.656609263522384</v>
      </c>
      <c r="O50"/>
      <c r="P50"/>
      <c r="Q50"/>
      <c r="R50"/>
      <c r="S50"/>
      <c r="T50"/>
      <c r="U50"/>
      <c r="X50" s="16"/>
      <c r="AP50" t="s">
        <v>323</v>
      </c>
      <c r="AS50"/>
      <c r="AT50"/>
      <c r="AU50"/>
      <c r="AV50"/>
      <c r="AW50"/>
      <c r="AX50"/>
      <c r="AY50"/>
      <c r="AZ50"/>
      <c r="BA50"/>
      <c r="BD50" s="16"/>
      <c r="BU50"/>
      <c r="BV50"/>
      <c r="BW50"/>
      <c r="BX50"/>
      <c r="BY50"/>
      <c r="BZ50"/>
      <c r="CA50"/>
      <c r="CB50"/>
      <c r="CC50"/>
      <c r="CF50" s="16"/>
      <c r="DA50" s="60"/>
      <c r="DB50" s="60"/>
      <c r="DC50" s="60"/>
      <c r="DD50" s="60"/>
      <c r="DE50" s="60"/>
      <c r="DF50" s="60"/>
      <c r="DG50" s="60"/>
      <c r="DH50" s="60"/>
      <c r="DI50" s="60"/>
    </row>
    <row r="51" spans="2:113" x14ac:dyDescent="0.25">
      <c r="B51" s="6">
        <f t="shared" si="63"/>
        <v>1149</v>
      </c>
      <c r="C51" s="5">
        <v>41342</v>
      </c>
      <c r="D51" s="6" t="s">
        <v>349</v>
      </c>
      <c r="E51" s="33">
        <v>60</v>
      </c>
      <c r="F51" s="6">
        <f t="shared" si="61"/>
        <v>11</v>
      </c>
      <c r="G51" s="89">
        <v>11</v>
      </c>
      <c r="H51" s="89">
        <v>117</v>
      </c>
      <c r="K51" s="107">
        <f>R34</f>
        <v>84.980088898181037</v>
      </c>
      <c r="L51" s="107">
        <f>L34</f>
        <v>21</v>
      </c>
      <c r="M51"/>
      <c r="N51" s="107">
        <f>Q34</f>
        <v>-11.58943734531795</v>
      </c>
      <c r="O51" s="16"/>
      <c r="P51"/>
      <c r="Q51"/>
      <c r="R51"/>
      <c r="S51"/>
      <c r="T51"/>
      <c r="U51"/>
      <c r="X51" s="16"/>
      <c r="AS51"/>
      <c r="AT51"/>
      <c r="AU51"/>
      <c r="AV51"/>
      <c r="AW51"/>
      <c r="AX51"/>
      <c r="AY51"/>
      <c r="AZ51"/>
      <c r="BA51"/>
      <c r="BD51" s="16"/>
      <c r="BU51"/>
      <c r="BV51"/>
      <c r="BW51"/>
      <c r="BX51"/>
      <c r="BY51"/>
      <c r="BZ51"/>
      <c r="CA51"/>
      <c r="CB51"/>
      <c r="CC51"/>
      <c r="CF51" s="16"/>
      <c r="DA51" s="60"/>
      <c r="DB51" s="60"/>
      <c r="DC51" s="60"/>
      <c r="DD51" s="60"/>
      <c r="DE51" s="60"/>
      <c r="DF51" s="60"/>
      <c r="DG51" s="60"/>
      <c r="DH51" s="60"/>
      <c r="DI51" s="60"/>
    </row>
    <row r="52" spans="2:113" x14ac:dyDescent="0.25">
      <c r="B52" s="6">
        <f t="shared" si="63"/>
        <v>1271</v>
      </c>
      <c r="C52" s="5">
        <v>41466</v>
      </c>
      <c r="D52" s="6" t="s">
        <v>349</v>
      </c>
      <c r="E52" s="33">
        <v>120</v>
      </c>
      <c r="F52" s="6">
        <f t="shared" si="61"/>
        <v>124</v>
      </c>
      <c r="G52" s="44">
        <v>124</v>
      </c>
      <c r="H52" s="44">
        <v>124</v>
      </c>
      <c r="M52"/>
      <c r="N52"/>
      <c r="O52" s="16"/>
      <c r="P52"/>
      <c r="Q52"/>
      <c r="R52"/>
      <c r="S52"/>
      <c r="T52"/>
      <c r="U52"/>
      <c r="X52" s="16"/>
      <c r="AP52" t="s">
        <v>318</v>
      </c>
      <c r="AQ52" s="107">
        <f t="array" ref="AQ52:AQ53">MMULT(AQ47:AR48,AT42:AT43)</f>
        <v>1.0827782615611734</v>
      </c>
      <c r="AS52"/>
      <c r="AT52"/>
      <c r="AU52"/>
      <c r="AV52"/>
      <c r="AW52"/>
      <c r="AX52"/>
      <c r="AY52"/>
      <c r="AZ52"/>
      <c r="BA52"/>
      <c r="BD52" s="16"/>
      <c r="BU52"/>
      <c r="BV52"/>
      <c r="BW52"/>
      <c r="BX52"/>
      <c r="BY52"/>
      <c r="BZ52"/>
      <c r="CA52"/>
      <c r="CB52"/>
      <c r="CC52"/>
      <c r="CF52" s="16"/>
      <c r="DA52" s="60"/>
      <c r="DB52" s="60"/>
      <c r="DC52" s="60"/>
      <c r="DD52" s="60"/>
      <c r="DE52" s="60"/>
      <c r="DF52" s="60"/>
      <c r="DG52" s="60"/>
      <c r="DH52" s="60"/>
      <c r="DI52" s="60"/>
    </row>
    <row r="53" spans="2:113" x14ac:dyDescent="0.25">
      <c r="B53" s="6">
        <f t="shared" si="63"/>
        <v>1275</v>
      </c>
      <c r="C53" s="5">
        <v>41470</v>
      </c>
      <c r="D53" s="6" t="s">
        <v>349</v>
      </c>
      <c r="E53" s="33">
        <v>120</v>
      </c>
      <c r="F53" s="6">
        <f t="shared" si="61"/>
        <v>4</v>
      </c>
      <c r="G53" s="89">
        <v>4</v>
      </c>
      <c r="H53" s="44">
        <v>127</v>
      </c>
      <c r="J53" t="s">
        <v>322</v>
      </c>
      <c r="M53"/>
      <c r="N53"/>
      <c r="O53" s="16"/>
      <c r="P53"/>
      <c r="Q53"/>
      <c r="R53"/>
      <c r="S53"/>
      <c r="T53"/>
      <c r="U53"/>
      <c r="X53" s="17"/>
      <c r="AQ53" s="107">
        <v>-5.2219732728014696</v>
      </c>
      <c r="AS53"/>
      <c r="AT53"/>
      <c r="AU53"/>
      <c r="AV53"/>
      <c r="AW53"/>
      <c r="AX53"/>
      <c r="AY53"/>
      <c r="AZ53"/>
      <c r="BA53"/>
      <c r="BD53" s="17"/>
      <c r="BU53"/>
      <c r="BV53"/>
      <c r="BW53"/>
      <c r="BX53"/>
      <c r="BY53"/>
      <c r="BZ53"/>
      <c r="CA53"/>
      <c r="CB53"/>
      <c r="CC53"/>
      <c r="CF53" s="17"/>
      <c r="DA53" s="60"/>
      <c r="DB53" s="60"/>
      <c r="DC53" s="60"/>
      <c r="DD53" s="60"/>
      <c r="DE53" s="60"/>
      <c r="DF53" s="60"/>
      <c r="DG53" s="60"/>
      <c r="DH53" s="60"/>
      <c r="DI53" s="60"/>
    </row>
    <row r="54" spans="2:113" x14ac:dyDescent="0.25">
      <c r="B54" s="6">
        <f t="shared" ref="B54:B59" si="64">DAYS360("31-12-2009",C54)</f>
        <v>1592</v>
      </c>
      <c r="C54" s="5">
        <v>41792</v>
      </c>
      <c r="D54" s="6" t="s">
        <v>349</v>
      </c>
      <c r="E54" s="6">
        <v>30</v>
      </c>
      <c r="F54" s="6">
        <f t="shared" si="61"/>
        <v>322</v>
      </c>
      <c r="G54" s="44">
        <v>322</v>
      </c>
      <c r="H54" s="44">
        <v>172</v>
      </c>
      <c r="M54"/>
      <c r="N54"/>
      <c r="O54" s="16"/>
      <c r="P54"/>
      <c r="Q54"/>
      <c r="R54"/>
      <c r="S54"/>
      <c r="T54"/>
      <c r="U54"/>
      <c r="X54" s="16"/>
      <c r="AS54"/>
      <c r="AT54"/>
      <c r="AU54"/>
      <c r="AV54"/>
      <c r="AW54"/>
      <c r="AX54"/>
      <c r="AY54"/>
      <c r="AZ54"/>
      <c r="BA54"/>
      <c r="BD54" s="16"/>
      <c r="CF54" s="16"/>
      <c r="DA54" s="60"/>
      <c r="DB54" s="60"/>
      <c r="DC54" s="60"/>
      <c r="DD54" s="60"/>
      <c r="DE54" s="60"/>
      <c r="DF54" s="60"/>
      <c r="DG54" s="60"/>
      <c r="DH54" s="60"/>
      <c r="DI54" s="60"/>
    </row>
    <row r="55" spans="2:113" x14ac:dyDescent="0.25">
      <c r="B55" s="6">
        <f t="shared" si="64"/>
        <v>1828</v>
      </c>
      <c r="C55" s="5">
        <v>42032</v>
      </c>
      <c r="D55" s="6" t="s">
        <v>349</v>
      </c>
      <c r="E55" s="30">
        <v>20</v>
      </c>
      <c r="F55" s="6">
        <f t="shared" si="61"/>
        <v>240</v>
      </c>
      <c r="G55" s="89">
        <v>240</v>
      </c>
      <c r="H55" s="89">
        <v>174</v>
      </c>
      <c r="J55" t="s">
        <v>318</v>
      </c>
      <c r="K55" s="107">
        <f t="array" ref="K55:L56">MINVERSE(K50:L51)</f>
        <v>7.661458610305856E-2</v>
      </c>
      <c r="L55" s="107">
        <v>-0.31003401609215525</v>
      </c>
      <c r="M55"/>
      <c r="N55"/>
      <c r="O55"/>
      <c r="P55"/>
      <c r="Q55"/>
      <c r="R55"/>
      <c r="S55"/>
      <c r="T55"/>
      <c r="U55"/>
      <c r="X55" s="16"/>
      <c r="AP55" s="2" t="s">
        <v>320</v>
      </c>
      <c r="AQ55" s="109">
        <f>EXP(-AQ53/AQ52)</f>
        <v>124.30697044903738</v>
      </c>
      <c r="AS55"/>
      <c r="AT55"/>
      <c r="AU55"/>
      <c r="AV55"/>
      <c r="AW55"/>
      <c r="AX55"/>
      <c r="AY55"/>
      <c r="AZ55"/>
      <c r="BA55"/>
      <c r="BD55" s="16"/>
      <c r="CF55" s="16"/>
      <c r="DA55" s="60"/>
      <c r="DB55" s="60"/>
      <c r="DC55" s="60"/>
      <c r="DD55" s="60"/>
      <c r="DE55" s="60"/>
      <c r="DF55" s="60"/>
      <c r="DG55" s="60"/>
      <c r="DH55" s="60"/>
      <c r="DI55" s="60"/>
    </row>
    <row r="56" spans="2:113" x14ac:dyDescent="0.25">
      <c r="B56" s="6">
        <f t="shared" si="64"/>
        <v>1999</v>
      </c>
      <c r="C56" s="5">
        <v>42204</v>
      </c>
      <c r="D56" s="6" t="s">
        <v>349</v>
      </c>
      <c r="E56" s="30">
        <v>120</v>
      </c>
      <c r="F56" s="6">
        <f t="shared" si="61"/>
        <v>172</v>
      </c>
      <c r="G56" s="44">
        <v>172</v>
      </c>
      <c r="H56" s="89">
        <v>240</v>
      </c>
      <c r="K56" s="107">
        <v>-0.31003401609215525</v>
      </c>
      <c r="L56" s="107">
        <v>1.3022246785224496</v>
      </c>
      <c r="M56"/>
      <c r="N56"/>
      <c r="O56"/>
      <c r="P56"/>
      <c r="Q56"/>
      <c r="R56"/>
      <c r="S56"/>
      <c r="T56"/>
      <c r="U56"/>
      <c r="X56" s="16"/>
      <c r="AP56" s="2" t="s">
        <v>321</v>
      </c>
      <c r="AQ56" s="109">
        <f>AQ52</f>
        <v>1.0827782615611734</v>
      </c>
      <c r="AS56"/>
      <c r="AT56"/>
      <c r="AU56"/>
      <c r="AV56"/>
      <c r="AW56"/>
      <c r="AX56"/>
      <c r="AY56"/>
      <c r="AZ56"/>
      <c r="BA56"/>
      <c r="BD56" s="16"/>
      <c r="CF56" s="16"/>
      <c r="DA56" s="60"/>
      <c r="DB56" s="60"/>
      <c r="DC56" s="60"/>
      <c r="DD56" s="60"/>
      <c r="DE56" s="60"/>
      <c r="DF56" s="60"/>
      <c r="DG56" s="60"/>
      <c r="DH56" s="60"/>
      <c r="DI56" s="60"/>
    </row>
    <row r="57" spans="2:113" x14ac:dyDescent="0.25">
      <c r="B57" s="6">
        <f t="shared" si="64"/>
        <v>2014</v>
      </c>
      <c r="C57" s="5">
        <v>42220</v>
      </c>
      <c r="D57" s="6" t="s">
        <v>349</v>
      </c>
      <c r="E57" s="30">
        <v>30</v>
      </c>
      <c r="F57" s="6">
        <f t="shared" si="61"/>
        <v>16</v>
      </c>
      <c r="G57" s="89">
        <v>16</v>
      </c>
      <c r="H57" s="89">
        <v>302</v>
      </c>
      <c r="M57"/>
      <c r="N57"/>
      <c r="O57"/>
      <c r="P57"/>
      <c r="Q57"/>
      <c r="R57"/>
      <c r="S57"/>
      <c r="T57"/>
      <c r="U57"/>
      <c r="X57" s="16"/>
      <c r="AS57"/>
      <c r="AT57"/>
      <c r="AU57"/>
      <c r="AV57"/>
      <c r="AW57"/>
      <c r="AX57"/>
      <c r="AY57"/>
      <c r="AZ57"/>
      <c r="BA57"/>
      <c r="BD57" s="16"/>
      <c r="CF57" s="16"/>
      <c r="DA57" s="60"/>
      <c r="DB57" s="60"/>
      <c r="DC57" s="60"/>
      <c r="DD57" s="60"/>
      <c r="DE57" s="60"/>
      <c r="DF57" s="60"/>
      <c r="DG57" s="60"/>
      <c r="DH57" s="60"/>
      <c r="DI57" s="60"/>
    </row>
    <row r="58" spans="2:113" x14ac:dyDescent="0.25">
      <c r="B58" s="6">
        <f t="shared" si="64"/>
        <v>2123</v>
      </c>
      <c r="C58" s="5">
        <v>42331</v>
      </c>
      <c r="D58" s="6" t="s">
        <v>349</v>
      </c>
      <c r="E58" s="30">
        <v>120</v>
      </c>
      <c r="F58" s="6">
        <f t="shared" si="61"/>
        <v>111</v>
      </c>
      <c r="G58" s="44">
        <v>111</v>
      </c>
      <c r="H58" s="44">
        <v>322</v>
      </c>
      <c r="J58" t="s">
        <v>323</v>
      </c>
      <c r="M58"/>
      <c r="N58"/>
      <c r="O58"/>
      <c r="P58"/>
      <c r="Q58"/>
      <c r="R58"/>
      <c r="S58"/>
      <c r="T58"/>
      <c r="U58"/>
      <c r="X58" s="16"/>
      <c r="AS58"/>
      <c r="AT58"/>
      <c r="AU58"/>
      <c r="AV58"/>
      <c r="AW58"/>
      <c r="AX58"/>
      <c r="AY58"/>
      <c r="AZ58"/>
      <c r="BA58"/>
      <c r="BD58" s="16"/>
      <c r="CF58" s="16"/>
      <c r="DA58" s="60"/>
      <c r="DB58" s="60"/>
      <c r="DC58" s="60"/>
      <c r="DD58" s="60"/>
      <c r="DE58" s="60"/>
      <c r="DF58" s="60"/>
      <c r="DG58" s="60"/>
      <c r="DH58" s="60"/>
      <c r="DI58" s="60"/>
    </row>
    <row r="59" spans="2:113" x14ac:dyDescent="0.25">
      <c r="B59" s="6">
        <f t="shared" si="64"/>
        <v>309</v>
      </c>
      <c r="C59" s="5">
        <v>40491</v>
      </c>
      <c r="D59" s="6" t="s">
        <v>351</v>
      </c>
      <c r="E59" s="34">
        <v>120</v>
      </c>
      <c r="F59" s="79" t="s">
        <v>279</v>
      </c>
      <c r="G59" s="79" t="s">
        <v>279</v>
      </c>
      <c r="H59" s="79" t="s">
        <v>279</v>
      </c>
      <c r="M59"/>
      <c r="N59"/>
      <c r="O59"/>
      <c r="P59"/>
      <c r="Q59"/>
      <c r="R59"/>
      <c r="S59"/>
      <c r="T59"/>
      <c r="U59"/>
      <c r="X59" s="16"/>
      <c r="AS59"/>
      <c r="AT59"/>
      <c r="AU59"/>
      <c r="AV59"/>
      <c r="AW59"/>
      <c r="AX59"/>
      <c r="AY59"/>
      <c r="AZ59"/>
      <c r="BA59"/>
      <c r="BD59" s="16"/>
      <c r="CF59" s="16"/>
      <c r="DA59" s="60"/>
      <c r="DB59" s="60"/>
      <c r="DC59" s="60"/>
      <c r="DD59" s="60"/>
      <c r="DE59" s="60"/>
      <c r="DF59" s="60"/>
      <c r="DG59" s="60"/>
      <c r="DH59" s="60"/>
      <c r="DI59" s="60"/>
    </row>
    <row r="60" spans="2:113" x14ac:dyDescent="0.25">
      <c r="B60" s="6">
        <f t="shared" ref="B60:B62" si="65">DAYS360("31-12-2009",C60)</f>
        <v>571</v>
      </c>
      <c r="C60" s="5">
        <v>40756</v>
      </c>
      <c r="D60" s="6" t="s">
        <v>351</v>
      </c>
      <c r="E60" s="33">
        <v>60</v>
      </c>
      <c r="F60" s="6">
        <f>C60-C59</f>
        <v>265</v>
      </c>
      <c r="G60" s="44">
        <v>265</v>
      </c>
      <c r="H60" s="44">
        <v>1</v>
      </c>
      <c r="J60" t="s">
        <v>318</v>
      </c>
      <c r="K60" s="107">
        <f t="array" ref="K60:K61">MMULT(K55:L56,N50:N51)</f>
        <v>1.3976055465754893</v>
      </c>
      <c r="M60"/>
      <c r="N60"/>
      <c r="O60"/>
      <c r="P60"/>
      <c r="Q60"/>
      <c r="R60"/>
      <c r="S60"/>
      <c r="T60"/>
      <c r="U60"/>
      <c r="X60" s="16"/>
      <c r="AS60"/>
      <c r="AT60"/>
      <c r="AU60"/>
      <c r="AV60"/>
      <c r="AW60"/>
      <c r="AX60"/>
      <c r="AY60"/>
      <c r="AZ60"/>
      <c r="BA60"/>
      <c r="BD60" s="16"/>
      <c r="CF60" s="16"/>
      <c r="DA60" s="60"/>
      <c r="DB60" s="60"/>
      <c r="DC60" s="60"/>
      <c r="DD60" s="60"/>
      <c r="DE60" s="60"/>
      <c r="DF60" s="60"/>
      <c r="DG60" s="60"/>
      <c r="DH60" s="60"/>
      <c r="DI60" s="60"/>
    </row>
    <row r="61" spans="2:113" x14ac:dyDescent="0.25">
      <c r="B61" s="6">
        <f t="shared" si="65"/>
        <v>593</v>
      </c>
      <c r="C61" s="5">
        <v>40778</v>
      </c>
      <c r="D61" s="6" t="s">
        <v>351</v>
      </c>
      <c r="E61" s="33">
        <v>60</v>
      </c>
      <c r="F61" s="6">
        <f t="shared" ref="F61:F72" si="66">C61-C60</f>
        <v>22</v>
      </c>
      <c r="G61" s="89">
        <v>22</v>
      </c>
      <c r="H61" s="44">
        <v>1</v>
      </c>
      <c r="K61" s="107">
        <v>-6.2075276637092358</v>
      </c>
      <c r="M61"/>
      <c r="N61"/>
      <c r="O61"/>
      <c r="P61"/>
      <c r="Q61"/>
      <c r="R61"/>
      <c r="S61"/>
      <c r="T61"/>
      <c r="U61"/>
      <c r="X61" s="16"/>
      <c r="AS61"/>
      <c r="AT61"/>
      <c r="AU61"/>
      <c r="AV61"/>
      <c r="AW61"/>
      <c r="AX61"/>
      <c r="AY61"/>
      <c r="AZ61"/>
      <c r="BA61"/>
      <c r="BD61" s="16"/>
      <c r="CF61" s="16"/>
      <c r="DA61" s="60"/>
      <c r="DB61" s="60"/>
      <c r="DC61" s="60"/>
      <c r="DD61" s="60"/>
      <c r="DE61" s="60"/>
      <c r="DF61" s="60"/>
      <c r="DG61" s="60"/>
      <c r="DH61" s="60"/>
      <c r="DI61" s="60"/>
    </row>
    <row r="62" spans="2:113" x14ac:dyDescent="0.25">
      <c r="B62" s="6">
        <f t="shared" si="65"/>
        <v>656</v>
      </c>
      <c r="C62" s="5">
        <v>40842</v>
      </c>
      <c r="D62" s="6" t="s">
        <v>351</v>
      </c>
      <c r="E62" s="33">
        <v>120</v>
      </c>
      <c r="F62" s="6">
        <f t="shared" si="66"/>
        <v>64</v>
      </c>
      <c r="G62" s="44">
        <v>64</v>
      </c>
      <c r="H62" s="89">
        <v>22</v>
      </c>
      <c r="M62"/>
      <c r="N62"/>
      <c r="O62"/>
      <c r="P62"/>
      <c r="Q62"/>
      <c r="R62"/>
      <c r="S62"/>
      <c r="T62"/>
      <c r="U62"/>
      <c r="X62" s="16"/>
      <c r="AS62"/>
      <c r="AT62"/>
      <c r="AU62"/>
      <c r="AV62"/>
      <c r="AW62"/>
      <c r="AX62"/>
      <c r="AY62"/>
      <c r="AZ62"/>
      <c r="BA62"/>
      <c r="BD62" s="16"/>
      <c r="CF62" s="16"/>
      <c r="DA62" s="60"/>
      <c r="DB62" s="60"/>
      <c r="DC62" s="60"/>
      <c r="DD62" s="60"/>
      <c r="DE62" s="60"/>
      <c r="DF62" s="60"/>
      <c r="DG62" s="60"/>
      <c r="DH62" s="60"/>
      <c r="DI62" s="60"/>
    </row>
    <row r="63" spans="2:113" x14ac:dyDescent="0.25">
      <c r="B63" s="6">
        <f t="shared" ref="B63:B69" si="67">DAYS360("31-12-2009",C63)</f>
        <v>730</v>
      </c>
      <c r="C63" s="5">
        <v>40918</v>
      </c>
      <c r="D63" s="30" t="s">
        <v>351</v>
      </c>
      <c r="E63" s="33">
        <v>60</v>
      </c>
      <c r="F63" s="6">
        <f t="shared" si="66"/>
        <v>76</v>
      </c>
      <c r="G63" s="89">
        <v>76</v>
      </c>
      <c r="H63" s="89">
        <v>23</v>
      </c>
      <c r="J63" s="2" t="s">
        <v>320</v>
      </c>
      <c r="K63" s="109">
        <f>EXP(-K61/K60)</f>
        <v>84.906004173450881</v>
      </c>
      <c r="M63"/>
      <c r="N63"/>
      <c r="O63"/>
      <c r="P63"/>
      <c r="Q63"/>
      <c r="R63"/>
      <c r="S63"/>
      <c r="T63"/>
      <c r="U63"/>
      <c r="X63" s="16"/>
      <c r="AS63"/>
      <c r="AT63"/>
      <c r="AU63"/>
      <c r="AV63"/>
      <c r="AW63"/>
      <c r="AX63"/>
      <c r="AY63"/>
      <c r="AZ63"/>
      <c r="BA63"/>
      <c r="BD63" s="16"/>
      <c r="CF63" s="16"/>
      <c r="DA63" s="60"/>
      <c r="DB63" s="60"/>
      <c r="DC63" s="60"/>
      <c r="DD63" s="60"/>
      <c r="DE63" s="60"/>
      <c r="DF63" s="60"/>
      <c r="DG63" s="60"/>
      <c r="DH63" s="60"/>
      <c r="DI63" s="60"/>
    </row>
    <row r="64" spans="2:113" x14ac:dyDescent="0.25">
      <c r="B64" s="6">
        <f t="shared" si="67"/>
        <v>731</v>
      </c>
      <c r="C64" s="5">
        <v>40919</v>
      </c>
      <c r="D64" s="30" t="s">
        <v>351</v>
      </c>
      <c r="E64" s="33">
        <v>150</v>
      </c>
      <c r="F64" s="6">
        <f t="shared" si="66"/>
        <v>1</v>
      </c>
      <c r="G64" s="44">
        <v>1</v>
      </c>
      <c r="H64" s="44">
        <v>48</v>
      </c>
      <c r="J64" s="2" t="s">
        <v>321</v>
      </c>
      <c r="K64" s="109">
        <f>K60</f>
        <v>1.3976055465754893</v>
      </c>
      <c r="M64"/>
      <c r="N64"/>
      <c r="O64"/>
      <c r="P64"/>
      <c r="Q64"/>
      <c r="R64"/>
      <c r="S64"/>
      <c r="T64"/>
      <c r="U64"/>
      <c r="X64" s="16"/>
      <c r="BD64" s="16"/>
      <c r="CF64" s="16"/>
      <c r="DA64" s="60"/>
      <c r="DB64" s="60"/>
      <c r="DC64" s="60"/>
      <c r="DD64" s="60"/>
      <c r="DE64" s="60"/>
      <c r="DF64" s="60"/>
      <c r="DG64" s="60"/>
      <c r="DH64" s="60"/>
      <c r="DI64" s="60"/>
    </row>
    <row r="65" spans="2:84" x14ac:dyDescent="0.25">
      <c r="B65" s="6">
        <f t="shared" si="67"/>
        <v>783</v>
      </c>
      <c r="C65" s="5">
        <v>40971</v>
      </c>
      <c r="D65" s="30" t="s">
        <v>351</v>
      </c>
      <c r="E65" s="33">
        <v>120</v>
      </c>
      <c r="F65" s="6">
        <f t="shared" si="66"/>
        <v>52</v>
      </c>
      <c r="G65" s="89">
        <v>52</v>
      </c>
      <c r="H65" s="89">
        <v>50</v>
      </c>
      <c r="M65"/>
      <c r="N65"/>
      <c r="O65"/>
      <c r="P65"/>
      <c r="Q65"/>
      <c r="R65"/>
      <c r="S65"/>
      <c r="T65"/>
      <c r="U65"/>
      <c r="X65" s="16"/>
      <c r="BD65" s="16"/>
      <c r="CF65" s="16"/>
    </row>
    <row r="66" spans="2:84" x14ac:dyDescent="0.25">
      <c r="B66" s="6">
        <f t="shared" si="67"/>
        <v>784</v>
      </c>
      <c r="C66" s="5">
        <v>40972</v>
      </c>
      <c r="D66" s="30" t="s">
        <v>351</v>
      </c>
      <c r="E66" s="33">
        <v>90</v>
      </c>
      <c r="F66" s="6">
        <f t="shared" si="66"/>
        <v>1</v>
      </c>
      <c r="G66" s="44">
        <v>1</v>
      </c>
      <c r="H66" s="89">
        <v>52</v>
      </c>
      <c r="M66"/>
      <c r="N66"/>
      <c r="O66"/>
      <c r="P66"/>
      <c r="Q66"/>
      <c r="R66"/>
      <c r="S66"/>
      <c r="T66"/>
      <c r="U66"/>
      <c r="X66" s="16"/>
      <c r="BD66" s="16"/>
      <c r="CF66" s="16"/>
    </row>
    <row r="67" spans="2:84" x14ac:dyDescent="0.25">
      <c r="B67" s="6">
        <f t="shared" si="67"/>
        <v>833</v>
      </c>
      <c r="C67" s="5">
        <v>41022</v>
      </c>
      <c r="D67" s="30" t="s">
        <v>351</v>
      </c>
      <c r="E67" s="33">
        <v>150</v>
      </c>
      <c r="F67" s="6">
        <f t="shared" si="66"/>
        <v>50</v>
      </c>
      <c r="G67" s="89">
        <v>50</v>
      </c>
      <c r="H67" s="44">
        <v>64</v>
      </c>
      <c r="M67"/>
      <c r="N67"/>
      <c r="O67"/>
      <c r="P67"/>
      <c r="Q67"/>
      <c r="R67"/>
      <c r="S67"/>
      <c r="T67"/>
      <c r="U67"/>
      <c r="X67" s="16"/>
      <c r="BD67" s="16"/>
      <c r="CF67" s="16"/>
    </row>
    <row r="68" spans="2:84" x14ac:dyDescent="0.25">
      <c r="B68" s="6">
        <f t="shared" si="67"/>
        <v>880</v>
      </c>
      <c r="C68" s="5">
        <v>41070</v>
      </c>
      <c r="D68" s="30" t="s">
        <v>351</v>
      </c>
      <c r="E68" s="33">
        <v>90</v>
      </c>
      <c r="F68" s="6">
        <f t="shared" si="66"/>
        <v>48</v>
      </c>
      <c r="G68" s="44">
        <v>48</v>
      </c>
      <c r="H68" s="89">
        <v>76</v>
      </c>
      <c r="M68"/>
      <c r="N68"/>
      <c r="O68"/>
      <c r="P68"/>
      <c r="Q68"/>
      <c r="R68"/>
      <c r="S68"/>
      <c r="T68"/>
      <c r="U68"/>
      <c r="X68" s="16"/>
      <c r="BD68" s="16"/>
      <c r="CF68" s="16"/>
    </row>
    <row r="69" spans="2:84" x14ac:dyDescent="0.25">
      <c r="B69" s="6">
        <f t="shared" si="67"/>
        <v>977</v>
      </c>
      <c r="C69" s="5">
        <v>41169</v>
      </c>
      <c r="D69" s="30" t="s">
        <v>351</v>
      </c>
      <c r="E69" s="33">
        <f>3*24*60</f>
        <v>4320</v>
      </c>
      <c r="F69" s="6">
        <f t="shared" si="66"/>
        <v>99</v>
      </c>
      <c r="G69" s="89">
        <v>99</v>
      </c>
      <c r="H69" s="89">
        <v>99</v>
      </c>
      <c r="M69"/>
      <c r="N69"/>
      <c r="O69"/>
      <c r="P69"/>
      <c r="Q69"/>
      <c r="R69"/>
      <c r="S69"/>
      <c r="T69"/>
      <c r="U69"/>
      <c r="X69" s="16"/>
      <c r="BD69" s="16"/>
      <c r="CF69" s="16"/>
    </row>
    <row r="70" spans="2:84" x14ac:dyDescent="0.25">
      <c r="B70" s="6">
        <f>DAYS360("31-12-2009",C70)</f>
        <v>1144</v>
      </c>
      <c r="C70" s="5">
        <v>41337</v>
      </c>
      <c r="D70" s="6" t="s">
        <v>351</v>
      </c>
      <c r="E70" s="33">
        <f>24*60+5*60</f>
        <v>1740</v>
      </c>
      <c r="F70" s="6">
        <f t="shared" si="66"/>
        <v>168</v>
      </c>
      <c r="G70" s="44">
        <v>168</v>
      </c>
      <c r="H70" s="44">
        <v>125</v>
      </c>
      <c r="M70"/>
      <c r="N70"/>
      <c r="O70"/>
      <c r="P70"/>
      <c r="Q70"/>
      <c r="R70"/>
      <c r="S70"/>
      <c r="T70"/>
      <c r="U70"/>
      <c r="X70" s="16"/>
      <c r="BD70" s="16"/>
      <c r="CF70" s="16"/>
    </row>
    <row r="71" spans="2:84" x14ac:dyDescent="0.25">
      <c r="B71" s="6">
        <f>DAYS360("31-12-2009",C71)</f>
        <v>1167</v>
      </c>
      <c r="C71" s="5">
        <v>41360</v>
      </c>
      <c r="D71" s="6" t="s">
        <v>351</v>
      </c>
      <c r="E71" s="33">
        <v>120</v>
      </c>
      <c r="F71" s="6">
        <f t="shared" si="66"/>
        <v>23</v>
      </c>
      <c r="G71" s="89">
        <v>23</v>
      </c>
      <c r="H71" s="44">
        <v>168</v>
      </c>
      <c r="M71"/>
      <c r="N71"/>
      <c r="O71"/>
      <c r="P71"/>
      <c r="Q71"/>
      <c r="R71"/>
      <c r="S71"/>
      <c r="T71"/>
      <c r="U71"/>
      <c r="X71" s="16"/>
      <c r="BD71" s="16"/>
      <c r="CF71" s="16"/>
    </row>
    <row r="72" spans="2:84" x14ac:dyDescent="0.25">
      <c r="B72" s="6">
        <f>DAYS360("31-12-2009",C72)</f>
        <v>1290</v>
      </c>
      <c r="C72" s="5">
        <v>41485</v>
      </c>
      <c r="D72" s="6" t="s">
        <v>351</v>
      </c>
      <c r="E72" s="33">
        <v>180</v>
      </c>
      <c r="F72" s="6">
        <f t="shared" si="66"/>
        <v>125</v>
      </c>
      <c r="G72" s="44">
        <v>125</v>
      </c>
      <c r="H72" s="44">
        <v>265</v>
      </c>
      <c r="X72" s="16"/>
      <c r="BD72" s="16"/>
      <c r="CF72" s="16"/>
    </row>
    <row r="73" spans="2:84" x14ac:dyDescent="0.25">
      <c r="B73" s="6">
        <f>DAYS360("31-12-2009",C73)</f>
        <v>438</v>
      </c>
      <c r="C73" s="5">
        <v>40620</v>
      </c>
      <c r="D73" s="6" t="s">
        <v>350</v>
      </c>
      <c r="E73" s="33">
        <v>300</v>
      </c>
      <c r="F73" s="79" t="s">
        <v>279</v>
      </c>
      <c r="G73" s="79" t="s">
        <v>279</v>
      </c>
      <c r="H73" s="79" t="s">
        <v>279</v>
      </c>
      <c r="X73" s="16"/>
      <c r="BD73" s="16"/>
      <c r="CF73" s="16"/>
    </row>
    <row r="74" spans="2:84" x14ac:dyDescent="0.25">
      <c r="B74" s="6">
        <f t="shared" ref="B74:B75" si="68">DAYS360("31-12-2009",C74)</f>
        <v>1391</v>
      </c>
      <c r="C74" s="5">
        <v>41589</v>
      </c>
      <c r="D74" s="6" t="s">
        <v>350</v>
      </c>
      <c r="E74" s="33">
        <v>240</v>
      </c>
      <c r="F74" s="6">
        <f>C74-C73</f>
        <v>969</v>
      </c>
      <c r="G74" s="44">
        <v>969</v>
      </c>
      <c r="H74" s="44">
        <v>14</v>
      </c>
      <c r="X74" s="16"/>
      <c r="BD74" s="16"/>
      <c r="CF74" s="16"/>
    </row>
    <row r="75" spans="2:84" x14ac:dyDescent="0.25">
      <c r="B75" s="6">
        <f t="shared" si="68"/>
        <v>1405</v>
      </c>
      <c r="C75" s="5">
        <v>41603</v>
      </c>
      <c r="D75" s="6" t="s">
        <v>350</v>
      </c>
      <c r="E75" s="33">
        <f>8*60</f>
        <v>480</v>
      </c>
      <c r="F75" s="6">
        <f>C75-C74</f>
        <v>14</v>
      </c>
      <c r="G75" s="89">
        <v>14</v>
      </c>
      <c r="H75" s="89">
        <v>969</v>
      </c>
      <c r="X75" s="16"/>
      <c r="BD75" s="16"/>
      <c r="CF75" s="16"/>
    </row>
    <row r="76" spans="2:84" x14ac:dyDescent="0.25">
      <c r="B76" s="6">
        <f>DAYS360("31-12-2009",C76)</f>
        <v>289</v>
      </c>
      <c r="C76" s="5">
        <v>40470</v>
      </c>
      <c r="D76" s="6" t="s">
        <v>352</v>
      </c>
      <c r="E76" s="34">
        <v>120</v>
      </c>
      <c r="F76" s="79" t="s">
        <v>279</v>
      </c>
      <c r="G76" s="79" t="s">
        <v>279</v>
      </c>
      <c r="H76" s="79" t="s">
        <v>279</v>
      </c>
      <c r="X76" s="16"/>
      <c r="BD76" s="16"/>
      <c r="CF76" s="16"/>
    </row>
    <row r="77" spans="2:84" x14ac:dyDescent="0.25">
      <c r="B77" s="6">
        <f t="shared" ref="B77:B81" si="69">DAYS360("31-12-2009",C77)</f>
        <v>742</v>
      </c>
      <c r="C77" s="5">
        <v>40930</v>
      </c>
      <c r="D77" s="30" t="s">
        <v>352</v>
      </c>
      <c r="E77" s="33">
        <v>120</v>
      </c>
      <c r="F77" s="6">
        <f>C77-C76</f>
        <v>460</v>
      </c>
      <c r="G77" s="89">
        <v>460</v>
      </c>
      <c r="H77" s="89">
        <v>6</v>
      </c>
      <c r="X77" s="16"/>
      <c r="BD77" s="16"/>
      <c r="CF77" s="16"/>
    </row>
    <row r="78" spans="2:84" x14ac:dyDescent="0.25">
      <c r="B78" s="6">
        <f t="shared" si="69"/>
        <v>748</v>
      </c>
      <c r="C78" s="5">
        <v>40936</v>
      </c>
      <c r="D78" s="30" t="s">
        <v>352</v>
      </c>
      <c r="E78" s="33">
        <v>90</v>
      </c>
      <c r="F78" s="6">
        <f t="shared" ref="F78:F82" si="70">C78-C77</f>
        <v>6</v>
      </c>
      <c r="G78" s="89">
        <v>6</v>
      </c>
      <c r="H78" s="89">
        <v>6</v>
      </c>
      <c r="X78" s="16"/>
      <c r="BD78" s="16"/>
      <c r="CF78" s="16"/>
    </row>
    <row r="79" spans="2:84" x14ac:dyDescent="0.25">
      <c r="B79" s="6">
        <f t="shared" si="69"/>
        <v>753</v>
      </c>
      <c r="C79" s="5">
        <v>40942</v>
      </c>
      <c r="D79" s="30" t="s">
        <v>352</v>
      </c>
      <c r="E79" s="33">
        <v>60</v>
      </c>
      <c r="F79" s="6">
        <f t="shared" si="70"/>
        <v>6</v>
      </c>
      <c r="G79" s="89">
        <v>6</v>
      </c>
      <c r="H79" s="89">
        <v>26</v>
      </c>
      <c r="X79" s="16"/>
      <c r="BD79" s="16"/>
      <c r="CF79" s="16"/>
    </row>
    <row r="80" spans="2:84" x14ac:dyDescent="0.25">
      <c r="B80" s="6">
        <f t="shared" si="69"/>
        <v>779</v>
      </c>
      <c r="C80" s="5">
        <v>40968</v>
      </c>
      <c r="D80" s="30" t="s">
        <v>352</v>
      </c>
      <c r="E80" s="33">
        <v>240</v>
      </c>
      <c r="F80" s="6">
        <f t="shared" si="70"/>
        <v>26</v>
      </c>
      <c r="G80" s="89">
        <v>26</v>
      </c>
      <c r="H80" s="89">
        <v>173</v>
      </c>
      <c r="X80" s="17"/>
      <c r="BD80" s="17"/>
      <c r="CF80" s="17"/>
    </row>
    <row r="81" spans="2:84" x14ac:dyDescent="0.25">
      <c r="B81" s="6">
        <f t="shared" si="69"/>
        <v>982</v>
      </c>
      <c r="C81" s="5">
        <v>41174</v>
      </c>
      <c r="D81" s="30" t="s">
        <v>352</v>
      </c>
      <c r="E81" s="33">
        <f>6*24*60</f>
        <v>8640</v>
      </c>
      <c r="F81" s="6">
        <f t="shared" si="70"/>
        <v>206</v>
      </c>
      <c r="G81" s="89">
        <v>206</v>
      </c>
      <c r="H81" s="89">
        <v>206</v>
      </c>
      <c r="X81" s="17"/>
      <c r="BD81" s="17"/>
      <c r="CF81" s="17"/>
    </row>
    <row r="82" spans="2:84" x14ac:dyDescent="0.25">
      <c r="B82" s="6">
        <f>DAYS360("31-12-2009",C82)</f>
        <v>1154</v>
      </c>
      <c r="C82" s="5">
        <v>41347</v>
      </c>
      <c r="D82" s="6" t="s">
        <v>352</v>
      </c>
      <c r="E82" s="33">
        <f>12*60</f>
        <v>720</v>
      </c>
      <c r="F82" s="6">
        <f t="shared" si="70"/>
        <v>173</v>
      </c>
      <c r="G82" s="89">
        <v>173</v>
      </c>
      <c r="H82" s="89">
        <v>460</v>
      </c>
      <c r="X82" s="16"/>
      <c r="BD82" s="16"/>
      <c r="CF82" s="16"/>
    </row>
    <row r="83" spans="2:84" x14ac:dyDescent="0.25">
      <c r="X83" s="16"/>
      <c r="BD83" s="16"/>
      <c r="CF83" s="16"/>
    </row>
    <row r="84" spans="2:84" x14ac:dyDescent="0.25">
      <c r="X84" s="16"/>
      <c r="BD84" s="16"/>
      <c r="CF84" s="16"/>
    </row>
    <row r="85" spans="2:84" x14ac:dyDescent="0.25">
      <c r="X85" s="16"/>
      <c r="BD85" s="16"/>
      <c r="CF85" s="16"/>
    </row>
  </sheetData>
  <sheetProtection sheet="1" objects="1" scenarios="1"/>
  <sortState ref="B2:H82">
    <sortCondition ref="H74"/>
  </sortState>
  <mergeCells count="13">
    <mergeCell ref="CX4:DI4"/>
    <mergeCell ref="CX3:DI3"/>
    <mergeCell ref="J4:U4"/>
    <mergeCell ref="J3:U3"/>
    <mergeCell ref="B2:H3"/>
    <mergeCell ref="AL3:AN3"/>
    <mergeCell ref="AP4:BA4"/>
    <mergeCell ref="AP3:BA3"/>
    <mergeCell ref="AL4:AN4"/>
    <mergeCell ref="CT3:CV3"/>
    <mergeCell ref="CT4:CV4"/>
    <mergeCell ref="BR4:CC4"/>
    <mergeCell ref="BR3:CC3"/>
  </mergeCells>
  <pageMargins left="0.7" right="0.7" top="0.75" bottom="0.75" header="0.3" footer="0.3"/>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2:AB87"/>
  <sheetViews>
    <sheetView zoomScale="85" zoomScaleNormal="85" workbookViewId="0"/>
  </sheetViews>
  <sheetFormatPr defaultRowHeight="15" x14ac:dyDescent="0.25"/>
  <cols>
    <col min="1" max="1" width="3" customWidth="1"/>
    <col min="2" max="3" width="10.42578125" bestFit="1" customWidth="1"/>
    <col min="4" max="4" width="21.42578125" bestFit="1" customWidth="1"/>
    <col min="5" max="5" width="13.42578125" bestFit="1" customWidth="1"/>
    <col min="7" max="7" width="19.28515625" bestFit="1" customWidth="1"/>
    <col min="8" max="8" width="19.140625" bestFit="1" customWidth="1"/>
    <col min="9" max="9" width="18.140625" bestFit="1" customWidth="1"/>
    <col min="16" max="16" width="10" bestFit="1" customWidth="1"/>
  </cols>
  <sheetData>
    <row r="2" spans="2:28" ht="15" customHeight="1" x14ac:dyDescent="0.25">
      <c r="B2" s="123" t="s">
        <v>345</v>
      </c>
      <c r="C2" s="123"/>
      <c r="D2" s="123"/>
      <c r="E2" s="123"/>
      <c r="F2" s="123"/>
      <c r="G2" s="123"/>
      <c r="H2" s="123"/>
      <c r="I2" s="123"/>
    </row>
    <row r="3" spans="2:28" ht="15" customHeight="1" x14ac:dyDescent="0.25">
      <c r="B3" s="123"/>
      <c r="C3" s="123"/>
      <c r="D3" s="123"/>
      <c r="E3" s="123"/>
      <c r="F3" s="123"/>
      <c r="G3" s="123"/>
      <c r="H3" s="123"/>
      <c r="I3" s="123"/>
      <c r="K3" s="130" t="s">
        <v>292</v>
      </c>
      <c r="L3" s="130"/>
      <c r="M3" s="130"/>
      <c r="N3" s="130" t="s">
        <v>292</v>
      </c>
      <c r="O3" s="130"/>
      <c r="P3" s="130"/>
      <c r="Q3" s="130" t="s">
        <v>292</v>
      </c>
      <c r="R3" s="130"/>
      <c r="S3" s="130"/>
      <c r="T3" s="130" t="s">
        <v>292</v>
      </c>
      <c r="U3" s="130"/>
      <c r="V3" s="130"/>
      <c r="W3" s="130" t="s">
        <v>292</v>
      </c>
      <c r="X3" s="130"/>
      <c r="Y3" s="130"/>
      <c r="Z3" s="130" t="s">
        <v>292</v>
      </c>
      <c r="AA3" s="130"/>
      <c r="AB3" s="130"/>
    </row>
    <row r="4" spans="2:28" x14ac:dyDescent="0.25">
      <c r="B4" s="7" t="s">
        <v>165</v>
      </c>
      <c r="C4" s="7" t="s">
        <v>5</v>
      </c>
      <c r="D4" s="7" t="s">
        <v>197</v>
      </c>
      <c r="E4" s="7" t="s">
        <v>301</v>
      </c>
      <c r="F4" s="7" t="s">
        <v>185</v>
      </c>
      <c r="G4" s="7" t="s">
        <v>278</v>
      </c>
      <c r="H4" s="7" t="s">
        <v>282</v>
      </c>
      <c r="I4" s="7" t="s">
        <v>280</v>
      </c>
      <c r="K4" s="131" t="s">
        <v>353</v>
      </c>
      <c r="L4" s="131"/>
      <c r="M4" s="131"/>
      <c r="N4" s="131" t="s">
        <v>359</v>
      </c>
      <c r="O4" s="131"/>
      <c r="P4" s="131"/>
      <c r="Q4" s="131" t="s">
        <v>6</v>
      </c>
      <c r="R4" s="131"/>
      <c r="S4" s="131"/>
      <c r="T4" s="131" t="s">
        <v>368</v>
      </c>
      <c r="U4" s="131"/>
      <c r="V4" s="131"/>
      <c r="W4" s="131" t="s">
        <v>367</v>
      </c>
      <c r="X4" s="131"/>
      <c r="Y4" s="131"/>
      <c r="Z4" s="131" t="s">
        <v>369</v>
      </c>
      <c r="AA4" s="131"/>
      <c r="AB4" s="131"/>
    </row>
    <row r="5" spans="2:28" x14ac:dyDescent="0.25">
      <c r="B5" s="8"/>
      <c r="C5" s="9"/>
      <c r="D5" s="9"/>
      <c r="E5" s="9" t="s">
        <v>303</v>
      </c>
      <c r="F5" s="9" t="s">
        <v>187</v>
      </c>
      <c r="G5" s="9" t="s">
        <v>199</v>
      </c>
      <c r="H5" s="9" t="s">
        <v>281</v>
      </c>
      <c r="I5" s="9" t="s">
        <v>283</v>
      </c>
      <c r="K5" s="96" t="s">
        <v>286</v>
      </c>
      <c r="L5" s="96" t="s">
        <v>284</v>
      </c>
      <c r="M5" s="96" t="s">
        <v>287</v>
      </c>
      <c r="N5" s="96" t="s">
        <v>286</v>
      </c>
      <c r="O5" s="96" t="s">
        <v>284</v>
      </c>
      <c r="P5" s="96" t="s">
        <v>287</v>
      </c>
      <c r="Q5" s="96" t="s">
        <v>286</v>
      </c>
      <c r="R5" s="96" t="s">
        <v>284</v>
      </c>
      <c r="S5" s="96" t="s">
        <v>287</v>
      </c>
      <c r="T5" s="96"/>
      <c r="U5" s="96"/>
      <c r="V5" s="96"/>
      <c r="W5" s="96"/>
      <c r="X5" s="96"/>
      <c r="Y5" s="96"/>
      <c r="Z5" s="96" t="s">
        <v>286</v>
      </c>
      <c r="AA5" s="96" t="s">
        <v>284</v>
      </c>
      <c r="AB5" s="96" t="s">
        <v>287</v>
      </c>
    </row>
    <row r="6" spans="2:28" x14ac:dyDescent="0.25">
      <c r="B6" s="6">
        <f>DAYS360("31-12-2009",C6)</f>
        <v>240</v>
      </c>
      <c r="C6" s="5">
        <v>40420</v>
      </c>
      <c r="D6" s="6" t="s">
        <v>347</v>
      </c>
      <c r="E6" s="6" t="s">
        <v>296</v>
      </c>
      <c r="F6" s="34">
        <v>60</v>
      </c>
      <c r="G6" s="79" t="s">
        <v>279</v>
      </c>
      <c r="H6" s="79" t="s">
        <v>279</v>
      </c>
      <c r="I6" s="79" t="s">
        <v>279</v>
      </c>
      <c r="K6" s="83" t="s">
        <v>293</v>
      </c>
      <c r="L6" s="83" t="s">
        <v>293</v>
      </c>
      <c r="M6" s="83" t="s">
        <v>293</v>
      </c>
      <c r="N6" s="83" t="s">
        <v>293</v>
      </c>
      <c r="O6" s="83" t="s">
        <v>293</v>
      </c>
      <c r="P6" s="83" t="s">
        <v>293</v>
      </c>
      <c r="Q6" s="83" t="s">
        <v>293</v>
      </c>
      <c r="R6" s="83" t="s">
        <v>293</v>
      </c>
      <c r="S6" s="83" t="s">
        <v>293</v>
      </c>
      <c r="T6" s="83" t="s">
        <v>293</v>
      </c>
      <c r="U6" s="83" t="s">
        <v>293</v>
      </c>
      <c r="V6" s="83" t="s">
        <v>293</v>
      </c>
      <c r="W6" s="83" t="s">
        <v>293</v>
      </c>
      <c r="X6" s="83" t="s">
        <v>293</v>
      </c>
      <c r="Y6" s="83" t="s">
        <v>293</v>
      </c>
      <c r="Z6" s="83" t="s">
        <v>293</v>
      </c>
      <c r="AA6" s="83" t="s">
        <v>293</v>
      </c>
      <c r="AB6" s="83" t="s">
        <v>293</v>
      </c>
    </row>
    <row r="7" spans="2:28" x14ac:dyDescent="0.25">
      <c r="B7" s="6">
        <f t="shared" ref="B7:B30" si="0">DAYS360("31-12-2009",C7)</f>
        <v>285</v>
      </c>
      <c r="C7" s="5">
        <v>40466</v>
      </c>
      <c r="D7" s="6" t="s">
        <v>347</v>
      </c>
      <c r="E7" s="6" t="s">
        <v>296</v>
      </c>
      <c r="F7" s="34">
        <v>240</v>
      </c>
      <c r="G7" s="6">
        <f>C7-C6</f>
        <v>46</v>
      </c>
      <c r="H7" s="6">
        <v>46</v>
      </c>
      <c r="I7" s="6">
        <v>1</v>
      </c>
      <c r="K7" s="6">
        <v>1</v>
      </c>
      <c r="L7" s="6">
        <v>1</v>
      </c>
      <c r="M7" s="83">
        <f t="shared" ref="M7:M32" si="1">($M$34-L7+0.625)/($M$34+0.25)</f>
        <v>0.97619047619047616</v>
      </c>
      <c r="N7" s="86">
        <v>458</v>
      </c>
      <c r="O7" s="64">
        <v>1</v>
      </c>
      <c r="P7" s="92">
        <f>($P$9-O7+0.625)/($P$9+0.25)</f>
        <v>0.5</v>
      </c>
      <c r="Q7" s="89">
        <v>1</v>
      </c>
      <c r="R7" s="6">
        <v>1</v>
      </c>
      <c r="S7" s="83">
        <f t="shared" ref="S7:S29" si="2">($S$31-R7+0.625)/($S$31+0.25)</f>
        <v>0.9731182795698925</v>
      </c>
      <c r="T7" s="44">
        <v>1</v>
      </c>
      <c r="U7" s="6">
        <v>1</v>
      </c>
      <c r="V7" s="83">
        <f>($V$21-U7+0.625)/($V$21+0.25)</f>
        <v>0.95283018867924529</v>
      </c>
      <c r="W7" s="44">
        <v>14</v>
      </c>
      <c r="X7" s="6">
        <v>1</v>
      </c>
      <c r="Y7" s="83">
        <f>($Y$10-X7+0.625)/($Y$10+0.25)</f>
        <v>0.72222222222222221</v>
      </c>
      <c r="Z7" s="89">
        <v>6</v>
      </c>
      <c r="AA7" s="6">
        <v>1</v>
      </c>
      <c r="AB7" s="83">
        <f>($AB$14-AA7+0.625)/($AB$14+0.25)</f>
        <v>0.9</v>
      </c>
    </row>
    <row r="8" spans="2:28" x14ac:dyDescent="0.25">
      <c r="B8" s="6">
        <f t="shared" si="0"/>
        <v>434</v>
      </c>
      <c r="C8" s="5">
        <v>40616</v>
      </c>
      <c r="D8" s="6" t="s">
        <v>347</v>
      </c>
      <c r="E8" s="6" t="s">
        <v>296</v>
      </c>
      <c r="F8" s="33">
        <v>120</v>
      </c>
      <c r="G8" s="6">
        <f t="shared" ref="G8:G32" si="3">C8-C7</f>
        <v>150</v>
      </c>
      <c r="H8" s="6">
        <v>150</v>
      </c>
      <c r="I8" s="6">
        <v>1</v>
      </c>
      <c r="K8" s="6">
        <v>1</v>
      </c>
      <c r="L8" s="6">
        <v>2</v>
      </c>
      <c r="M8" s="83">
        <f t="shared" si="1"/>
        <v>0.93809523809523809</v>
      </c>
      <c r="N8" s="90"/>
      <c r="O8" s="66"/>
      <c r="P8" s="91"/>
      <c r="Q8" s="44">
        <v>1</v>
      </c>
      <c r="R8" s="6">
        <v>2</v>
      </c>
      <c r="S8" s="88">
        <f t="shared" si="2"/>
        <v>0.93010752688172038</v>
      </c>
      <c r="T8" s="44">
        <v>1</v>
      </c>
      <c r="U8" s="6">
        <v>2</v>
      </c>
      <c r="V8" s="83">
        <f t="shared" ref="V8:V19" si="4">($V$21-U8+0.625)/($V$21+0.25)</f>
        <v>0.87735849056603776</v>
      </c>
      <c r="W8" s="89">
        <v>969</v>
      </c>
      <c r="X8" s="6">
        <v>2</v>
      </c>
      <c r="Y8" s="83">
        <f>($Y$10-X8+0.625)/($Y$10+0.25)</f>
        <v>0.27777777777777779</v>
      </c>
      <c r="Z8" s="89">
        <v>6</v>
      </c>
      <c r="AA8" s="6">
        <v>2</v>
      </c>
      <c r="AB8" s="83">
        <f t="shared" ref="AB8:AB12" si="5">($AB$14-AA8+0.625)/($AB$14+0.25)</f>
        <v>0.74</v>
      </c>
    </row>
    <row r="9" spans="2:28" x14ac:dyDescent="0.25">
      <c r="B9" s="6">
        <f t="shared" si="0"/>
        <v>533</v>
      </c>
      <c r="C9" s="5">
        <v>40717</v>
      </c>
      <c r="D9" s="6" t="s">
        <v>347</v>
      </c>
      <c r="E9" s="6" t="s">
        <v>296</v>
      </c>
      <c r="F9" s="33">
        <v>30</v>
      </c>
      <c r="G9" s="6">
        <f t="shared" si="3"/>
        <v>101</v>
      </c>
      <c r="H9" s="6">
        <v>101</v>
      </c>
      <c r="I9" s="6">
        <v>3</v>
      </c>
      <c r="K9" s="6">
        <v>3</v>
      </c>
      <c r="L9" s="6">
        <v>3</v>
      </c>
      <c r="M9" s="83">
        <f t="shared" si="1"/>
        <v>0.9</v>
      </c>
      <c r="N9" s="84"/>
      <c r="O9" s="80" t="s">
        <v>285</v>
      </c>
      <c r="P9" s="81">
        <f>COUNT(O7)</f>
        <v>1</v>
      </c>
      <c r="Q9" s="89">
        <v>4</v>
      </c>
      <c r="R9" s="6">
        <v>3</v>
      </c>
      <c r="S9" s="88">
        <f t="shared" si="2"/>
        <v>0.88709677419354838</v>
      </c>
      <c r="T9" s="89">
        <v>22</v>
      </c>
      <c r="U9" s="6">
        <v>3</v>
      </c>
      <c r="V9" s="83">
        <f t="shared" si="4"/>
        <v>0.80188679245283023</v>
      </c>
      <c r="W9" s="87"/>
      <c r="X9" s="87"/>
      <c r="Y9" s="87"/>
      <c r="Z9" s="89">
        <v>26</v>
      </c>
      <c r="AA9" s="6">
        <v>3</v>
      </c>
      <c r="AB9" s="83">
        <f t="shared" si="5"/>
        <v>0.57999999999999996</v>
      </c>
    </row>
    <row r="10" spans="2:28" x14ac:dyDescent="0.25">
      <c r="B10" s="6">
        <f t="shared" si="0"/>
        <v>657</v>
      </c>
      <c r="C10" s="5">
        <v>40843</v>
      </c>
      <c r="D10" s="6" t="s">
        <v>347</v>
      </c>
      <c r="E10" s="6" t="s">
        <v>296</v>
      </c>
      <c r="F10" s="33">
        <v>180</v>
      </c>
      <c r="G10" s="6">
        <f t="shared" si="3"/>
        <v>126</v>
      </c>
      <c r="H10" s="6">
        <v>126</v>
      </c>
      <c r="I10" s="6">
        <v>4</v>
      </c>
      <c r="K10" s="6">
        <v>4</v>
      </c>
      <c r="L10" s="6">
        <v>4</v>
      </c>
      <c r="M10" s="83">
        <f t="shared" si="1"/>
        <v>0.86190476190476195</v>
      </c>
      <c r="N10" s="84"/>
      <c r="O10" s="11"/>
      <c r="P10" s="87"/>
      <c r="Q10" s="89">
        <v>4</v>
      </c>
      <c r="R10" s="6">
        <v>4</v>
      </c>
      <c r="S10" s="88">
        <f t="shared" si="2"/>
        <v>0.84408602150537637</v>
      </c>
      <c r="T10" s="89">
        <v>23</v>
      </c>
      <c r="U10" s="6">
        <v>4</v>
      </c>
      <c r="V10" s="83">
        <f t="shared" si="4"/>
        <v>0.72641509433962259</v>
      </c>
      <c r="W10" s="87"/>
      <c r="X10" s="80" t="s">
        <v>285</v>
      </c>
      <c r="Y10" s="81">
        <f>COUNT(X7:X19)</f>
        <v>2</v>
      </c>
      <c r="Z10" s="89">
        <v>173</v>
      </c>
      <c r="AA10" s="33">
        <v>4</v>
      </c>
      <c r="AB10" s="83">
        <f t="shared" si="5"/>
        <v>0.42</v>
      </c>
    </row>
    <row r="11" spans="2:28" x14ac:dyDescent="0.25">
      <c r="B11" s="6">
        <f t="shared" si="0"/>
        <v>692</v>
      </c>
      <c r="C11" s="5">
        <v>40879</v>
      </c>
      <c r="D11" s="6" t="s">
        <v>347</v>
      </c>
      <c r="E11" s="6" t="s">
        <v>296</v>
      </c>
      <c r="F11" s="33">
        <v>30</v>
      </c>
      <c r="G11" s="6">
        <f t="shared" si="3"/>
        <v>36</v>
      </c>
      <c r="H11" s="6">
        <v>36</v>
      </c>
      <c r="I11" s="6">
        <v>5</v>
      </c>
      <c r="K11" s="6">
        <v>5</v>
      </c>
      <c r="L11" s="6">
        <v>5</v>
      </c>
      <c r="M11" s="83">
        <f t="shared" si="1"/>
        <v>0.82380952380952377</v>
      </c>
      <c r="N11" s="84"/>
      <c r="O11" s="11"/>
      <c r="P11" s="87"/>
      <c r="Q11" s="89">
        <v>9</v>
      </c>
      <c r="R11" s="6">
        <v>5</v>
      </c>
      <c r="S11" s="88">
        <f t="shared" si="2"/>
        <v>0.80107526881720426</v>
      </c>
      <c r="T11" s="44">
        <v>48</v>
      </c>
      <c r="U11" s="6">
        <v>5</v>
      </c>
      <c r="V11" s="83">
        <f t="shared" si="4"/>
        <v>0.65094339622641506</v>
      </c>
      <c r="W11" s="87"/>
      <c r="X11" s="87"/>
      <c r="Y11" s="87"/>
      <c r="Z11" s="89">
        <v>206</v>
      </c>
      <c r="AA11" s="33">
        <v>5</v>
      </c>
      <c r="AB11" s="83">
        <f t="shared" si="5"/>
        <v>0.26</v>
      </c>
    </row>
    <row r="12" spans="2:28" x14ac:dyDescent="0.25">
      <c r="B12" s="6">
        <f t="shared" si="0"/>
        <v>728</v>
      </c>
      <c r="C12" s="5">
        <v>40916</v>
      </c>
      <c r="D12" s="6" t="s">
        <v>347</v>
      </c>
      <c r="E12" s="6" t="s">
        <v>296</v>
      </c>
      <c r="F12" s="33">
        <v>120</v>
      </c>
      <c r="G12" s="6">
        <f t="shared" si="3"/>
        <v>37</v>
      </c>
      <c r="H12" s="6">
        <v>37</v>
      </c>
      <c r="I12" s="6">
        <v>15</v>
      </c>
      <c r="K12" s="6">
        <v>15</v>
      </c>
      <c r="L12" s="6">
        <v>6</v>
      </c>
      <c r="M12" s="83">
        <f t="shared" si="1"/>
        <v>0.7857142857142857</v>
      </c>
      <c r="N12" s="84"/>
      <c r="O12" s="11"/>
      <c r="P12" s="87"/>
      <c r="Q12" s="89">
        <v>11</v>
      </c>
      <c r="R12" s="6">
        <v>6</v>
      </c>
      <c r="S12" s="88">
        <f t="shared" si="2"/>
        <v>0.75806451612903225</v>
      </c>
      <c r="T12" s="89">
        <v>50</v>
      </c>
      <c r="U12" s="6">
        <v>6</v>
      </c>
      <c r="V12" s="83">
        <f t="shared" si="4"/>
        <v>0.57547169811320753</v>
      </c>
      <c r="W12" s="87"/>
      <c r="X12" s="87"/>
      <c r="Y12" s="87"/>
      <c r="Z12" s="89">
        <v>460</v>
      </c>
      <c r="AA12" s="33">
        <v>6</v>
      </c>
      <c r="AB12" s="83">
        <f t="shared" si="5"/>
        <v>0.1</v>
      </c>
    </row>
    <row r="13" spans="2:28" x14ac:dyDescent="0.25">
      <c r="B13" s="6">
        <f t="shared" si="0"/>
        <v>756</v>
      </c>
      <c r="C13" s="5">
        <v>40945</v>
      </c>
      <c r="D13" s="30" t="s">
        <v>347</v>
      </c>
      <c r="E13" s="30" t="s">
        <v>298</v>
      </c>
      <c r="F13" s="33">
        <v>150</v>
      </c>
      <c r="G13" s="6">
        <f t="shared" si="3"/>
        <v>29</v>
      </c>
      <c r="H13" s="6">
        <v>29</v>
      </c>
      <c r="I13" s="6">
        <v>19</v>
      </c>
      <c r="K13" s="6">
        <v>19</v>
      </c>
      <c r="L13" s="6">
        <v>7</v>
      </c>
      <c r="M13" s="83">
        <f t="shared" si="1"/>
        <v>0.74761904761904763</v>
      </c>
      <c r="Q13" s="44">
        <v>15</v>
      </c>
      <c r="R13" s="6">
        <v>7</v>
      </c>
      <c r="S13" s="88">
        <f t="shared" si="2"/>
        <v>0.71505376344086025</v>
      </c>
      <c r="T13" s="89">
        <v>52</v>
      </c>
      <c r="U13" s="6">
        <v>7</v>
      </c>
      <c r="V13" s="83">
        <f t="shared" si="4"/>
        <v>0.5</v>
      </c>
      <c r="W13" s="87"/>
      <c r="X13" s="87"/>
      <c r="Y13" s="87"/>
    </row>
    <row r="14" spans="2:28" x14ac:dyDescent="0.25">
      <c r="B14" s="6">
        <f t="shared" si="0"/>
        <v>795</v>
      </c>
      <c r="C14" s="5">
        <v>40983</v>
      </c>
      <c r="D14" s="30" t="s">
        <v>347</v>
      </c>
      <c r="E14" s="30" t="s">
        <v>296</v>
      </c>
      <c r="F14" s="33">
        <v>30</v>
      </c>
      <c r="G14" s="6">
        <f t="shared" si="3"/>
        <v>38</v>
      </c>
      <c r="H14" s="6">
        <v>38</v>
      </c>
      <c r="I14" s="6">
        <v>25</v>
      </c>
      <c r="K14" s="6">
        <v>25</v>
      </c>
      <c r="L14" s="6">
        <v>8</v>
      </c>
      <c r="M14" s="83">
        <f t="shared" si="1"/>
        <v>0.70952380952380956</v>
      </c>
      <c r="Q14" s="89">
        <v>16</v>
      </c>
      <c r="R14" s="6">
        <v>8</v>
      </c>
      <c r="S14" s="88">
        <f t="shared" si="2"/>
        <v>0.67204301075268813</v>
      </c>
      <c r="T14" s="44">
        <v>64</v>
      </c>
      <c r="U14" s="6">
        <v>8</v>
      </c>
      <c r="V14" s="83">
        <f t="shared" si="4"/>
        <v>0.42452830188679247</v>
      </c>
      <c r="W14" s="87"/>
      <c r="X14" s="87"/>
      <c r="Y14" s="87"/>
      <c r="AA14" s="80" t="s">
        <v>285</v>
      </c>
      <c r="AB14" s="81">
        <f>COUNT(AA7:AA12)</f>
        <v>6</v>
      </c>
    </row>
    <row r="15" spans="2:28" x14ac:dyDescent="0.25">
      <c r="B15" s="6">
        <f t="shared" si="0"/>
        <v>1103</v>
      </c>
      <c r="C15" s="5">
        <v>41297</v>
      </c>
      <c r="D15" s="6" t="s">
        <v>347</v>
      </c>
      <c r="E15" s="6" t="s">
        <v>297</v>
      </c>
      <c r="F15" s="33">
        <v>30</v>
      </c>
      <c r="G15" s="6">
        <f t="shared" si="3"/>
        <v>314</v>
      </c>
      <c r="H15" s="6">
        <v>314</v>
      </c>
      <c r="I15" s="6">
        <v>29</v>
      </c>
      <c r="K15" s="6">
        <v>29</v>
      </c>
      <c r="L15" s="6">
        <v>9</v>
      </c>
      <c r="M15" s="83">
        <f t="shared" si="1"/>
        <v>0.67142857142857137</v>
      </c>
      <c r="Q15" s="44">
        <v>19</v>
      </c>
      <c r="R15" s="6">
        <v>9</v>
      </c>
      <c r="S15" s="88">
        <f t="shared" si="2"/>
        <v>0.62903225806451613</v>
      </c>
      <c r="T15" s="89">
        <v>76</v>
      </c>
      <c r="U15" s="6">
        <v>9</v>
      </c>
      <c r="V15" s="83">
        <f t="shared" si="4"/>
        <v>0.34905660377358488</v>
      </c>
      <c r="W15" s="87"/>
      <c r="X15" s="87"/>
      <c r="Y15" s="87"/>
    </row>
    <row r="16" spans="2:28" x14ac:dyDescent="0.25">
      <c r="B16" s="6">
        <f t="shared" si="0"/>
        <v>1153</v>
      </c>
      <c r="C16" s="5">
        <v>41346</v>
      </c>
      <c r="D16" s="6" t="s">
        <v>347</v>
      </c>
      <c r="E16" s="6" t="s">
        <v>296</v>
      </c>
      <c r="F16" s="33">
        <v>120</v>
      </c>
      <c r="G16" s="6">
        <f t="shared" si="3"/>
        <v>49</v>
      </c>
      <c r="H16" s="6">
        <v>49</v>
      </c>
      <c r="I16" s="6">
        <v>29</v>
      </c>
      <c r="K16" s="6">
        <v>29</v>
      </c>
      <c r="L16" s="6">
        <v>10</v>
      </c>
      <c r="M16" s="83">
        <f t="shared" si="1"/>
        <v>0.6333333333333333</v>
      </c>
      <c r="Q16" s="44">
        <v>35</v>
      </c>
      <c r="R16" s="6">
        <v>10</v>
      </c>
      <c r="S16" s="88">
        <f t="shared" si="2"/>
        <v>0.58602150537634412</v>
      </c>
      <c r="T16" s="89">
        <v>99</v>
      </c>
      <c r="U16" s="6">
        <v>10</v>
      </c>
      <c r="V16" s="83">
        <f t="shared" si="4"/>
        <v>0.27358490566037735</v>
      </c>
      <c r="W16" s="87"/>
      <c r="X16" s="87"/>
      <c r="Y16" s="87"/>
    </row>
    <row r="17" spans="2:25" x14ac:dyDescent="0.25">
      <c r="B17" s="6">
        <f t="shared" si="0"/>
        <v>1168</v>
      </c>
      <c r="C17" s="5">
        <v>41361</v>
      </c>
      <c r="D17" s="6" t="s">
        <v>347</v>
      </c>
      <c r="E17" s="6" t="s">
        <v>296</v>
      </c>
      <c r="F17" s="33">
        <v>60</v>
      </c>
      <c r="G17" s="6">
        <f t="shared" si="3"/>
        <v>15</v>
      </c>
      <c r="H17" s="6">
        <v>15</v>
      </c>
      <c r="I17" s="6">
        <v>31</v>
      </c>
      <c r="K17" s="6">
        <v>31</v>
      </c>
      <c r="L17" s="6">
        <v>11</v>
      </c>
      <c r="M17" s="83">
        <f t="shared" si="1"/>
        <v>0.59523809523809523</v>
      </c>
      <c r="Q17" s="44">
        <v>43</v>
      </c>
      <c r="R17" s="6">
        <v>11</v>
      </c>
      <c r="S17" s="88">
        <f t="shared" si="2"/>
        <v>0.543010752688172</v>
      </c>
      <c r="T17" s="44">
        <v>125</v>
      </c>
      <c r="U17" s="6">
        <v>11</v>
      </c>
      <c r="V17" s="83">
        <f t="shared" si="4"/>
        <v>0.19811320754716982</v>
      </c>
      <c r="W17" s="87"/>
      <c r="X17" s="87"/>
      <c r="Y17" s="87"/>
    </row>
    <row r="18" spans="2:25" x14ac:dyDescent="0.25">
      <c r="B18" s="6">
        <f t="shared" si="0"/>
        <v>1171</v>
      </c>
      <c r="C18" s="5">
        <v>41365</v>
      </c>
      <c r="D18" s="6" t="s">
        <v>347</v>
      </c>
      <c r="E18" s="6" t="s">
        <v>297</v>
      </c>
      <c r="F18" s="33">
        <v>60</v>
      </c>
      <c r="G18" s="6">
        <f t="shared" si="3"/>
        <v>4</v>
      </c>
      <c r="H18" s="6">
        <v>4</v>
      </c>
      <c r="I18" s="6">
        <v>36</v>
      </c>
      <c r="K18" s="6">
        <v>36</v>
      </c>
      <c r="L18" s="6">
        <v>12</v>
      </c>
      <c r="M18" s="83">
        <f t="shared" si="1"/>
        <v>0.55714285714285716</v>
      </c>
      <c r="Q18" s="89">
        <v>52</v>
      </c>
      <c r="R18" s="6">
        <v>12</v>
      </c>
      <c r="S18" s="88">
        <f t="shared" si="2"/>
        <v>0.5</v>
      </c>
      <c r="T18" s="44">
        <v>168</v>
      </c>
      <c r="U18" s="6">
        <v>12</v>
      </c>
      <c r="V18" s="83">
        <f t="shared" si="4"/>
        <v>0.12264150943396226</v>
      </c>
      <c r="W18" s="87"/>
      <c r="X18" s="87"/>
      <c r="Y18" s="87"/>
    </row>
    <row r="19" spans="2:25" x14ac:dyDescent="0.25">
      <c r="B19" s="6">
        <f t="shared" si="0"/>
        <v>1316</v>
      </c>
      <c r="C19" s="5">
        <v>41512</v>
      </c>
      <c r="D19" s="6" t="s">
        <v>347</v>
      </c>
      <c r="E19" s="6" t="s">
        <v>296</v>
      </c>
      <c r="F19" s="33">
        <v>120</v>
      </c>
      <c r="G19" s="6">
        <f t="shared" si="3"/>
        <v>147</v>
      </c>
      <c r="H19" s="6">
        <v>147</v>
      </c>
      <c r="I19" s="6">
        <v>37</v>
      </c>
      <c r="K19" s="6">
        <v>37</v>
      </c>
      <c r="L19" s="6">
        <v>13</v>
      </c>
      <c r="M19" s="83">
        <f t="shared" si="1"/>
        <v>0.51904761904761909</v>
      </c>
      <c r="Q19" s="44">
        <v>86</v>
      </c>
      <c r="R19" s="6">
        <v>13</v>
      </c>
      <c r="S19" s="88">
        <f t="shared" si="2"/>
        <v>0.45698924731182794</v>
      </c>
      <c r="T19" s="44">
        <v>265</v>
      </c>
      <c r="U19" s="6">
        <v>13</v>
      </c>
      <c r="V19" s="83">
        <f t="shared" si="4"/>
        <v>4.716981132075472E-2</v>
      </c>
      <c r="W19" s="87"/>
      <c r="X19" s="87"/>
      <c r="Y19" s="87"/>
    </row>
    <row r="20" spans="2:25" x14ac:dyDescent="0.25">
      <c r="B20" s="6">
        <f t="shared" si="0"/>
        <v>1364</v>
      </c>
      <c r="C20" s="5">
        <v>41561</v>
      </c>
      <c r="D20" s="6" t="s">
        <v>347</v>
      </c>
      <c r="E20" s="6" t="s">
        <v>296</v>
      </c>
      <c r="F20" s="33">
        <v>60</v>
      </c>
      <c r="G20" s="6">
        <f t="shared" si="3"/>
        <v>49</v>
      </c>
      <c r="H20" s="6">
        <v>49</v>
      </c>
      <c r="I20" s="6">
        <v>38</v>
      </c>
      <c r="K20" s="6">
        <v>38</v>
      </c>
      <c r="L20" s="6">
        <v>14</v>
      </c>
      <c r="M20" s="83">
        <f t="shared" si="1"/>
        <v>0.48095238095238096</v>
      </c>
      <c r="Q20" s="44">
        <v>111</v>
      </c>
      <c r="R20" s="6">
        <v>14</v>
      </c>
      <c r="S20" s="88">
        <f t="shared" si="2"/>
        <v>0.41397849462365593</v>
      </c>
      <c r="T20" s="93"/>
      <c r="U20" s="93"/>
      <c r="V20" s="93"/>
      <c r="W20" s="93"/>
      <c r="X20" s="93"/>
      <c r="Y20" s="93"/>
    </row>
    <row r="21" spans="2:25" x14ac:dyDescent="0.25">
      <c r="B21" s="6">
        <f t="shared" si="0"/>
        <v>1369</v>
      </c>
      <c r="C21" s="5">
        <v>41566</v>
      </c>
      <c r="D21" s="6" t="s">
        <v>347</v>
      </c>
      <c r="E21" s="6" t="s">
        <v>296</v>
      </c>
      <c r="F21" s="33">
        <v>150</v>
      </c>
      <c r="G21" s="6">
        <f t="shared" si="3"/>
        <v>5</v>
      </c>
      <c r="H21" s="6">
        <v>5</v>
      </c>
      <c r="I21" s="6">
        <v>46</v>
      </c>
      <c r="K21" s="6">
        <v>46</v>
      </c>
      <c r="L21" s="6">
        <v>15</v>
      </c>
      <c r="M21" s="83">
        <f t="shared" si="1"/>
        <v>0.44285714285714284</v>
      </c>
      <c r="Q21" s="44">
        <v>114</v>
      </c>
      <c r="R21" s="6">
        <v>15</v>
      </c>
      <c r="S21" s="88">
        <f t="shared" si="2"/>
        <v>0.37096774193548387</v>
      </c>
      <c r="T21" s="93"/>
      <c r="U21" s="80" t="s">
        <v>285</v>
      </c>
      <c r="V21" s="81">
        <f>COUNT(U7:U19)</f>
        <v>13</v>
      </c>
      <c r="W21" s="94"/>
    </row>
    <row r="22" spans="2:25" x14ac:dyDescent="0.25">
      <c r="B22" s="6">
        <f t="shared" si="0"/>
        <v>1370</v>
      </c>
      <c r="C22" s="5">
        <v>41567</v>
      </c>
      <c r="D22" s="6" t="s">
        <v>347</v>
      </c>
      <c r="E22" s="6" t="s">
        <v>296</v>
      </c>
      <c r="F22" s="33">
        <v>120</v>
      </c>
      <c r="G22" s="6">
        <f t="shared" si="3"/>
        <v>1</v>
      </c>
      <c r="H22" s="6">
        <v>1</v>
      </c>
      <c r="I22" s="6">
        <v>49</v>
      </c>
      <c r="K22" s="6">
        <v>49</v>
      </c>
      <c r="L22" s="6">
        <v>16</v>
      </c>
      <c r="M22" s="83">
        <f t="shared" si="1"/>
        <v>0.40476190476190477</v>
      </c>
      <c r="Q22" s="89">
        <v>117</v>
      </c>
      <c r="R22" s="6">
        <v>16</v>
      </c>
      <c r="S22" s="88">
        <f t="shared" si="2"/>
        <v>0.32795698924731181</v>
      </c>
      <c r="T22" s="93"/>
      <c r="U22" s="93"/>
      <c r="V22" s="93"/>
      <c r="W22" s="93"/>
      <c r="X22" s="93"/>
      <c r="Y22" s="93"/>
    </row>
    <row r="23" spans="2:25" x14ac:dyDescent="0.25">
      <c r="B23" s="6">
        <f t="shared" si="0"/>
        <v>1400</v>
      </c>
      <c r="C23" s="5">
        <v>41598</v>
      </c>
      <c r="D23" s="6" t="s">
        <v>347</v>
      </c>
      <c r="E23" s="6" t="s">
        <v>296</v>
      </c>
      <c r="F23" s="33">
        <v>90</v>
      </c>
      <c r="G23" s="6">
        <f t="shared" si="3"/>
        <v>31</v>
      </c>
      <c r="H23" s="6">
        <v>31</v>
      </c>
      <c r="I23" s="6">
        <v>49</v>
      </c>
      <c r="K23" s="6">
        <v>49</v>
      </c>
      <c r="L23" s="6">
        <v>17</v>
      </c>
      <c r="M23" s="83">
        <f t="shared" si="1"/>
        <v>0.36666666666666664</v>
      </c>
      <c r="Q23" s="44">
        <v>124</v>
      </c>
      <c r="R23" s="6">
        <v>17</v>
      </c>
      <c r="S23" s="88">
        <f t="shared" si="2"/>
        <v>0.28494623655913981</v>
      </c>
      <c r="T23" s="93"/>
      <c r="U23" s="93"/>
      <c r="V23" s="93"/>
      <c r="W23" s="93"/>
      <c r="X23" s="93"/>
      <c r="Y23" s="93"/>
    </row>
    <row r="24" spans="2:25" x14ac:dyDescent="0.25">
      <c r="B24" s="6">
        <f t="shared" si="0"/>
        <v>1419</v>
      </c>
      <c r="C24" s="5">
        <v>41617</v>
      </c>
      <c r="D24" s="6" t="s">
        <v>347</v>
      </c>
      <c r="E24" s="6" t="s">
        <v>297</v>
      </c>
      <c r="F24" s="33">
        <v>30</v>
      </c>
      <c r="G24" s="6">
        <f t="shared" si="3"/>
        <v>19</v>
      </c>
      <c r="H24" s="6">
        <v>19</v>
      </c>
      <c r="I24" s="6">
        <v>65</v>
      </c>
      <c r="K24" s="6">
        <v>65</v>
      </c>
      <c r="L24" s="6">
        <v>18</v>
      </c>
      <c r="M24" s="83">
        <f t="shared" si="1"/>
        <v>0.32857142857142857</v>
      </c>
      <c r="Q24" s="44">
        <v>127</v>
      </c>
      <c r="R24" s="6">
        <v>18</v>
      </c>
      <c r="S24" s="88">
        <f t="shared" si="2"/>
        <v>0.24193548387096775</v>
      </c>
      <c r="T24" s="93"/>
      <c r="U24" s="93"/>
      <c r="V24" s="93"/>
      <c r="W24" s="93"/>
      <c r="X24" s="93"/>
      <c r="Y24" s="93"/>
    </row>
    <row r="25" spans="2:25" x14ac:dyDescent="0.25">
      <c r="B25" s="6">
        <f t="shared" si="0"/>
        <v>1482</v>
      </c>
      <c r="C25" s="5">
        <v>41682</v>
      </c>
      <c r="D25" s="6" t="s">
        <v>347</v>
      </c>
      <c r="E25" s="6" t="s">
        <v>296</v>
      </c>
      <c r="F25" s="6">
        <v>180</v>
      </c>
      <c r="G25" s="6">
        <f t="shared" si="3"/>
        <v>65</v>
      </c>
      <c r="H25" s="6">
        <v>65</v>
      </c>
      <c r="I25" s="6">
        <v>66</v>
      </c>
      <c r="K25" s="6">
        <v>66</v>
      </c>
      <c r="L25" s="6">
        <v>19</v>
      </c>
      <c r="M25" s="83">
        <f t="shared" si="1"/>
        <v>0.2904761904761905</v>
      </c>
      <c r="Q25" s="44">
        <v>172</v>
      </c>
      <c r="R25" s="6">
        <v>19</v>
      </c>
      <c r="S25" s="88">
        <f t="shared" si="2"/>
        <v>0.19892473118279569</v>
      </c>
      <c r="T25" s="93"/>
      <c r="U25" s="93"/>
      <c r="V25" s="93"/>
      <c r="W25" s="93"/>
      <c r="X25" s="93"/>
      <c r="Y25" s="93"/>
    </row>
    <row r="26" spans="2:25" x14ac:dyDescent="0.25">
      <c r="B26" s="6">
        <f t="shared" si="0"/>
        <v>1483</v>
      </c>
      <c r="C26" s="5">
        <v>41683</v>
      </c>
      <c r="D26" s="6" t="s">
        <v>347</v>
      </c>
      <c r="E26" s="6" t="s">
        <v>297</v>
      </c>
      <c r="F26" s="6">
        <v>60</v>
      </c>
      <c r="G26" s="6">
        <f t="shared" si="3"/>
        <v>1</v>
      </c>
      <c r="H26" s="6">
        <v>1</v>
      </c>
      <c r="I26" s="6">
        <v>101</v>
      </c>
      <c r="K26" s="6">
        <v>101</v>
      </c>
      <c r="L26" s="6">
        <v>20</v>
      </c>
      <c r="M26" s="83">
        <f t="shared" si="1"/>
        <v>0.25238095238095237</v>
      </c>
      <c r="Q26" s="89">
        <v>174</v>
      </c>
      <c r="R26" s="6">
        <v>20</v>
      </c>
      <c r="S26" s="88">
        <f t="shared" si="2"/>
        <v>0.15591397849462366</v>
      </c>
      <c r="T26" s="93"/>
      <c r="U26" s="93"/>
      <c r="V26" s="93"/>
      <c r="W26" s="93"/>
      <c r="X26" s="93"/>
      <c r="Y26" s="93"/>
    </row>
    <row r="27" spans="2:25" x14ac:dyDescent="0.25">
      <c r="B27" s="6">
        <f t="shared" si="0"/>
        <v>1514</v>
      </c>
      <c r="C27" s="5">
        <v>41712</v>
      </c>
      <c r="D27" s="6" t="s">
        <v>347</v>
      </c>
      <c r="E27" s="6" t="s">
        <v>296</v>
      </c>
      <c r="F27" s="6">
        <v>30</v>
      </c>
      <c r="G27" s="6">
        <f t="shared" si="3"/>
        <v>29</v>
      </c>
      <c r="H27" s="6">
        <v>29</v>
      </c>
      <c r="I27" s="6">
        <v>126</v>
      </c>
      <c r="K27" s="6">
        <v>126</v>
      </c>
      <c r="L27" s="6">
        <v>21</v>
      </c>
      <c r="M27" s="83">
        <f t="shared" si="1"/>
        <v>0.21428571428571427</v>
      </c>
      <c r="Q27" s="89">
        <v>240</v>
      </c>
      <c r="R27" s="6">
        <v>21</v>
      </c>
      <c r="S27" s="88">
        <f>($S$31-R27+0.625)/($S$31+0.25)</f>
        <v>0.11290322580645161</v>
      </c>
      <c r="T27" s="93"/>
      <c r="U27" s="93"/>
      <c r="V27" s="93"/>
      <c r="W27" s="93"/>
      <c r="X27" s="93"/>
      <c r="Y27" s="93"/>
    </row>
    <row r="28" spans="2:25" x14ac:dyDescent="0.25">
      <c r="B28" s="6">
        <f t="shared" si="0"/>
        <v>1579</v>
      </c>
      <c r="C28" s="5">
        <v>41778</v>
      </c>
      <c r="D28" s="6" t="s">
        <v>358</v>
      </c>
      <c r="E28" s="6" t="s">
        <v>297</v>
      </c>
      <c r="F28" s="6">
        <v>480</v>
      </c>
      <c r="G28" s="6">
        <f t="shared" si="3"/>
        <v>66</v>
      </c>
      <c r="H28" s="6">
        <v>66</v>
      </c>
      <c r="I28" s="6">
        <v>136</v>
      </c>
      <c r="K28" s="6">
        <v>136</v>
      </c>
      <c r="L28" s="6">
        <v>22</v>
      </c>
      <c r="M28" s="83">
        <f t="shared" si="1"/>
        <v>0.1761904761904762</v>
      </c>
      <c r="Q28" s="89">
        <v>302</v>
      </c>
      <c r="R28" s="6">
        <v>22</v>
      </c>
      <c r="S28" s="88">
        <f t="shared" si="2"/>
        <v>6.9892473118279563E-2</v>
      </c>
      <c r="T28" s="93"/>
      <c r="U28" s="93"/>
      <c r="V28" s="93"/>
      <c r="W28" s="93"/>
      <c r="X28" s="93"/>
      <c r="Y28" s="93"/>
    </row>
    <row r="29" spans="2:25" x14ac:dyDescent="0.25">
      <c r="B29" s="6">
        <f t="shared" si="0"/>
        <v>1582</v>
      </c>
      <c r="C29" s="5">
        <v>41781</v>
      </c>
      <c r="D29" s="6" t="s">
        <v>347</v>
      </c>
      <c r="E29" s="6" t="s">
        <v>296</v>
      </c>
      <c r="F29" s="6">
        <v>30</v>
      </c>
      <c r="G29" s="6">
        <f t="shared" si="3"/>
        <v>3</v>
      </c>
      <c r="H29" s="6">
        <v>3</v>
      </c>
      <c r="I29" s="6">
        <v>147</v>
      </c>
      <c r="K29" s="6">
        <v>147</v>
      </c>
      <c r="L29" s="6">
        <v>23</v>
      </c>
      <c r="M29" s="83">
        <f t="shared" si="1"/>
        <v>0.1380952380952381</v>
      </c>
      <c r="Q29" s="44">
        <v>322</v>
      </c>
      <c r="R29" s="6">
        <v>23</v>
      </c>
      <c r="S29" s="88">
        <f t="shared" si="2"/>
        <v>2.6881720430107527E-2</v>
      </c>
      <c r="T29" s="93"/>
      <c r="U29" s="93"/>
      <c r="V29" s="93"/>
      <c r="W29" s="93"/>
      <c r="X29" s="93"/>
      <c r="Y29" s="93"/>
    </row>
    <row r="30" spans="2:25" x14ac:dyDescent="0.25">
      <c r="B30" s="6">
        <f t="shared" si="0"/>
        <v>1730</v>
      </c>
      <c r="C30" s="5">
        <v>41932</v>
      </c>
      <c r="D30" s="6" t="s">
        <v>347</v>
      </c>
      <c r="E30" s="6" t="s">
        <v>297</v>
      </c>
      <c r="F30" s="6">
        <v>600</v>
      </c>
      <c r="G30" s="6">
        <f t="shared" si="3"/>
        <v>151</v>
      </c>
      <c r="H30" s="6">
        <v>151</v>
      </c>
      <c r="I30" s="6">
        <v>150</v>
      </c>
      <c r="K30" s="6">
        <v>150</v>
      </c>
      <c r="L30" s="6">
        <v>24</v>
      </c>
      <c r="M30" s="83">
        <f t="shared" si="1"/>
        <v>0.1</v>
      </c>
    </row>
    <row r="31" spans="2:25" x14ac:dyDescent="0.25">
      <c r="B31" s="6">
        <f>DAYS360("31-12-2009",C31)</f>
        <v>1865</v>
      </c>
      <c r="C31" s="5">
        <v>42068</v>
      </c>
      <c r="D31" s="6" t="s">
        <v>347</v>
      </c>
      <c r="E31" s="6" t="s">
        <v>297</v>
      </c>
      <c r="F31" s="30">
        <v>50</v>
      </c>
      <c r="G31" s="6">
        <f t="shared" si="3"/>
        <v>136</v>
      </c>
      <c r="H31" s="6">
        <v>136</v>
      </c>
      <c r="I31" s="6">
        <v>151</v>
      </c>
      <c r="K31" s="6">
        <v>151</v>
      </c>
      <c r="L31" s="6">
        <v>25</v>
      </c>
      <c r="M31" s="83">
        <f t="shared" si="1"/>
        <v>6.1904761904761907E-2</v>
      </c>
      <c r="R31" s="80" t="s">
        <v>285</v>
      </c>
      <c r="S31" s="81">
        <f>COUNT(R7:R29)</f>
        <v>23</v>
      </c>
      <c r="T31" s="94"/>
      <c r="U31" s="94"/>
      <c r="V31" s="94"/>
      <c r="W31" s="94"/>
      <c r="X31" s="94"/>
      <c r="Y31" s="94"/>
    </row>
    <row r="32" spans="2:25" x14ac:dyDescent="0.25">
      <c r="B32" s="6">
        <f>DAYS360("31-12-2009",C32)</f>
        <v>1890</v>
      </c>
      <c r="C32" s="5">
        <v>42093</v>
      </c>
      <c r="D32" s="6" t="s">
        <v>347</v>
      </c>
      <c r="E32" s="6" t="s">
        <v>296</v>
      </c>
      <c r="F32" s="30">
        <v>20</v>
      </c>
      <c r="G32" s="6">
        <f t="shared" si="3"/>
        <v>25</v>
      </c>
      <c r="H32" s="6">
        <v>25</v>
      </c>
      <c r="I32" s="6">
        <v>314</v>
      </c>
      <c r="K32" s="6">
        <v>314</v>
      </c>
      <c r="L32" s="6">
        <v>26</v>
      </c>
      <c r="M32" s="83">
        <f t="shared" si="1"/>
        <v>2.3809523809523808E-2</v>
      </c>
    </row>
    <row r="33" spans="2:13" x14ac:dyDescent="0.25">
      <c r="B33" s="6">
        <f>DAYS360("31-12-2009",C33)</f>
        <v>655</v>
      </c>
      <c r="C33" s="5">
        <v>40841</v>
      </c>
      <c r="D33" s="6" t="s">
        <v>348</v>
      </c>
      <c r="E33" s="6" t="s">
        <v>296</v>
      </c>
      <c r="F33" s="33">
        <v>180</v>
      </c>
      <c r="G33" s="79" t="s">
        <v>279</v>
      </c>
      <c r="H33" s="79" t="s">
        <v>279</v>
      </c>
      <c r="I33" s="79" t="s">
        <v>279</v>
      </c>
    </row>
    <row r="34" spans="2:13" x14ac:dyDescent="0.25">
      <c r="B34" s="6">
        <f>DAYS360("31-12-2009",C34)</f>
        <v>1105</v>
      </c>
      <c r="C34" s="5">
        <v>41299</v>
      </c>
      <c r="D34" s="6" t="s">
        <v>348</v>
      </c>
      <c r="E34" s="6" t="s">
        <v>296</v>
      </c>
      <c r="F34" s="33">
        <v>360</v>
      </c>
      <c r="G34" s="6">
        <f>C34-C33</f>
        <v>458</v>
      </c>
      <c r="H34" s="6">
        <v>458</v>
      </c>
      <c r="I34" s="6">
        <v>458</v>
      </c>
      <c r="L34" s="80" t="s">
        <v>285</v>
      </c>
      <c r="M34" s="81">
        <f>COUNT(L7:L32)</f>
        <v>26</v>
      </c>
    </row>
    <row r="35" spans="2:13" x14ac:dyDescent="0.25">
      <c r="B35" s="6">
        <f>DAYS360("31-12-2009",C35)</f>
        <v>53</v>
      </c>
      <c r="C35" s="5">
        <v>40232</v>
      </c>
      <c r="D35" s="6" t="s">
        <v>349</v>
      </c>
      <c r="E35" s="6" t="s">
        <v>297</v>
      </c>
      <c r="F35" s="34">
        <v>180</v>
      </c>
      <c r="G35" s="79" t="s">
        <v>279</v>
      </c>
      <c r="H35" s="79" t="s">
        <v>279</v>
      </c>
      <c r="I35" s="79" t="s">
        <v>279</v>
      </c>
    </row>
    <row r="36" spans="2:13" x14ac:dyDescent="0.25">
      <c r="B36" s="6">
        <f t="shared" ref="B36:B69" si="6">DAYS360("31-12-2009",C36)</f>
        <v>97</v>
      </c>
      <c r="C36" s="5">
        <v>40275</v>
      </c>
      <c r="D36" s="6" t="s">
        <v>349</v>
      </c>
      <c r="E36" s="6" t="s">
        <v>297</v>
      </c>
      <c r="F36" s="34">
        <v>120</v>
      </c>
      <c r="G36" s="6">
        <f>C36-C35</f>
        <v>43</v>
      </c>
      <c r="H36" s="44">
        <v>43</v>
      </c>
      <c r="I36" s="89">
        <v>1</v>
      </c>
      <c r="K36" t="s">
        <v>294</v>
      </c>
    </row>
    <row r="37" spans="2:13" x14ac:dyDescent="0.25">
      <c r="B37" s="6">
        <f t="shared" si="6"/>
        <v>268</v>
      </c>
      <c r="C37" s="5">
        <v>40449</v>
      </c>
      <c r="D37" s="6" t="s">
        <v>349</v>
      </c>
      <c r="E37" s="6" t="s">
        <v>296</v>
      </c>
      <c r="F37" s="34">
        <v>120</v>
      </c>
      <c r="G37" s="6">
        <f t="shared" ref="G37:G58" si="7">C37-C36</f>
        <v>174</v>
      </c>
      <c r="H37" s="89">
        <v>174</v>
      </c>
      <c r="I37" s="44">
        <v>1</v>
      </c>
    </row>
    <row r="38" spans="2:13" x14ac:dyDescent="0.25">
      <c r="B38" s="6">
        <f t="shared" si="6"/>
        <v>380</v>
      </c>
      <c r="C38" s="5">
        <v>40563</v>
      </c>
      <c r="D38" s="6" t="s">
        <v>349</v>
      </c>
      <c r="E38" s="6" t="s">
        <v>297</v>
      </c>
      <c r="F38" s="33">
        <v>60</v>
      </c>
      <c r="G38" s="6">
        <f t="shared" si="7"/>
        <v>114</v>
      </c>
      <c r="H38" s="44">
        <v>114</v>
      </c>
      <c r="I38" s="89">
        <v>4</v>
      </c>
      <c r="K38" t="s">
        <v>288</v>
      </c>
    </row>
    <row r="39" spans="2:13" x14ac:dyDescent="0.25">
      <c r="B39" s="6">
        <f t="shared" si="6"/>
        <v>381</v>
      </c>
      <c r="C39" s="5">
        <v>40564</v>
      </c>
      <c r="D39" s="6" t="s">
        <v>349</v>
      </c>
      <c r="E39" s="6" t="s">
        <v>296</v>
      </c>
      <c r="F39" s="33">
        <v>60</v>
      </c>
      <c r="G39" s="6">
        <f t="shared" si="7"/>
        <v>1</v>
      </c>
      <c r="H39" s="89">
        <v>1</v>
      </c>
      <c r="I39" s="89">
        <v>4</v>
      </c>
    </row>
    <row r="40" spans="2:13" x14ac:dyDescent="0.25">
      <c r="B40" s="6">
        <f t="shared" si="6"/>
        <v>415</v>
      </c>
      <c r="C40" s="5">
        <v>40599</v>
      </c>
      <c r="D40" s="6" t="s">
        <v>349</v>
      </c>
      <c r="E40" s="6" t="s">
        <v>297</v>
      </c>
      <c r="F40" s="33">
        <f>8*60</f>
        <v>480</v>
      </c>
      <c r="G40" s="6">
        <f t="shared" si="7"/>
        <v>35</v>
      </c>
      <c r="H40" s="44">
        <v>35</v>
      </c>
      <c r="I40" s="89">
        <v>9</v>
      </c>
      <c r="K40" t="s">
        <v>289</v>
      </c>
    </row>
    <row r="41" spans="2:13" x14ac:dyDescent="0.25">
      <c r="B41" s="6">
        <f t="shared" si="6"/>
        <v>421</v>
      </c>
      <c r="C41" s="5">
        <v>40603</v>
      </c>
      <c r="D41" s="6" t="s">
        <v>349</v>
      </c>
      <c r="E41" s="6" t="s">
        <v>297</v>
      </c>
      <c r="F41" s="33">
        <v>240</v>
      </c>
      <c r="G41" s="6">
        <f t="shared" si="7"/>
        <v>4</v>
      </c>
      <c r="H41" s="89">
        <v>4</v>
      </c>
      <c r="I41" s="89">
        <v>11</v>
      </c>
    </row>
    <row r="42" spans="2:13" x14ac:dyDescent="0.25">
      <c r="B42" s="6">
        <f t="shared" si="6"/>
        <v>436</v>
      </c>
      <c r="C42" s="5">
        <v>40618</v>
      </c>
      <c r="D42" s="6" t="s">
        <v>349</v>
      </c>
      <c r="E42" s="6" t="s">
        <v>297</v>
      </c>
      <c r="F42" s="33">
        <v>30</v>
      </c>
      <c r="G42" s="6">
        <f t="shared" si="7"/>
        <v>15</v>
      </c>
      <c r="H42" s="44">
        <v>15</v>
      </c>
      <c r="I42" s="44">
        <v>15</v>
      </c>
      <c r="K42" t="s">
        <v>290</v>
      </c>
    </row>
    <row r="43" spans="2:13" x14ac:dyDescent="0.25">
      <c r="B43" s="6">
        <f t="shared" si="6"/>
        <v>732</v>
      </c>
      <c r="C43" s="5">
        <v>40920</v>
      </c>
      <c r="D43" s="30" t="s">
        <v>349</v>
      </c>
      <c r="E43" s="30" t="s">
        <v>296</v>
      </c>
      <c r="F43" s="33">
        <v>60</v>
      </c>
      <c r="G43" s="6">
        <f t="shared" si="7"/>
        <v>302</v>
      </c>
      <c r="H43" s="89">
        <v>302</v>
      </c>
      <c r="I43" s="89">
        <v>16</v>
      </c>
      <c r="K43" t="s">
        <v>291</v>
      </c>
    </row>
    <row r="44" spans="2:13" x14ac:dyDescent="0.25">
      <c r="B44" s="6">
        <f t="shared" si="6"/>
        <v>858</v>
      </c>
      <c r="C44" s="5">
        <v>41047</v>
      </c>
      <c r="D44" s="30" t="s">
        <v>349</v>
      </c>
      <c r="E44" s="30" t="s">
        <v>296</v>
      </c>
      <c r="F44" s="33">
        <v>30</v>
      </c>
      <c r="G44" s="6">
        <f t="shared" si="7"/>
        <v>127</v>
      </c>
      <c r="H44" s="44">
        <v>127</v>
      </c>
      <c r="I44" s="44">
        <v>19</v>
      </c>
    </row>
    <row r="45" spans="2:13" x14ac:dyDescent="0.25">
      <c r="B45" s="6">
        <f t="shared" si="6"/>
        <v>909</v>
      </c>
      <c r="C45" s="5">
        <v>41099</v>
      </c>
      <c r="D45" s="30" t="s">
        <v>349</v>
      </c>
      <c r="E45" s="30" t="s">
        <v>297</v>
      </c>
      <c r="F45" s="33">
        <v>60</v>
      </c>
      <c r="G45" s="6">
        <f t="shared" si="7"/>
        <v>52</v>
      </c>
      <c r="H45" s="89">
        <v>52</v>
      </c>
      <c r="I45" s="44">
        <v>35</v>
      </c>
    </row>
    <row r="46" spans="2:13" x14ac:dyDescent="0.25">
      <c r="B46" s="6">
        <f t="shared" si="6"/>
        <v>993</v>
      </c>
      <c r="C46" s="5">
        <v>41185</v>
      </c>
      <c r="D46" s="30" t="s">
        <v>349</v>
      </c>
      <c r="E46" s="30" t="s">
        <v>296</v>
      </c>
      <c r="F46" s="33">
        <v>120</v>
      </c>
      <c r="G46" s="6">
        <f t="shared" si="7"/>
        <v>86</v>
      </c>
      <c r="H46" s="44">
        <v>86</v>
      </c>
      <c r="I46" s="44">
        <v>43</v>
      </c>
    </row>
    <row r="47" spans="2:13" x14ac:dyDescent="0.25">
      <c r="B47" s="6">
        <f t="shared" si="6"/>
        <v>1108</v>
      </c>
      <c r="C47" s="5">
        <v>41302</v>
      </c>
      <c r="D47" s="6" t="s">
        <v>349</v>
      </c>
      <c r="E47" s="6" t="s">
        <v>296</v>
      </c>
      <c r="F47" s="33">
        <v>60</v>
      </c>
      <c r="G47" s="6">
        <f t="shared" si="7"/>
        <v>117</v>
      </c>
      <c r="H47" s="89">
        <v>117</v>
      </c>
      <c r="I47" s="89">
        <v>52</v>
      </c>
    </row>
    <row r="48" spans="2:13" x14ac:dyDescent="0.25">
      <c r="B48" s="6">
        <f t="shared" si="6"/>
        <v>1109</v>
      </c>
      <c r="C48" s="5">
        <v>41303</v>
      </c>
      <c r="D48" s="6" t="s">
        <v>349</v>
      </c>
      <c r="E48" s="6" t="s">
        <v>296</v>
      </c>
      <c r="F48" s="33">
        <v>120</v>
      </c>
      <c r="G48" s="6">
        <f t="shared" si="7"/>
        <v>1</v>
      </c>
      <c r="H48" s="44">
        <v>1</v>
      </c>
      <c r="I48" s="44">
        <v>86</v>
      </c>
    </row>
    <row r="49" spans="2:9" x14ac:dyDescent="0.25">
      <c r="B49" s="6">
        <f t="shared" si="6"/>
        <v>1117</v>
      </c>
      <c r="C49" s="5">
        <v>41312</v>
      </c>
      <c r="D49" s="6" t="s">
        <v>349</v>
      </c>
      <c r="E49" s="6" t="s">
        <v>296</v>
      </c>
      <c r="F49" s="33">
        <v>150</v>
      </c>
      <c r="G49" s="6">
        <f t="shared" si="7"/>
        <v>9</v>
      </c>
      <c r="H49" s="89">
        <v>9</v>
      </c>
      <c r="I49" s="44">
        <v>111</v>
      </c>
    </row>
    <row r="50" spans="2:9" x14ac:dyDescent="0.25">
      <c r="B50" s="6">
        <f t="shared" si="6"/>
        <v>1136</v>
      </c>
      <c r="C50" s="5">
        <v>41331</v>
      </c>
      <c r="D50" s="6" t="s">
        <v>349</v>
      </c>
      <c r="E50" s="6" t="s">
        <v>296</v>
      </c>
      <c r="F50" s="33">
        <v>30</v>
      </c>
      <c r="G50" s="6">
        <f t="shared" si="7"/>
        <v>19</v>
      </c>
      <c r="H50" s="44">
        <v>19</v>
      </c>
      <c r="I50" s="44">
        <v>114</v>
      </c>
    </row>
    <row r="51" spans="2:9" x14ac:dyDescent="0.25">
      <c r="B51" s="6">
        <f t="shared" si="6"/>
        <v>1149</v>
      </c>
      <c r="C51" s="5">
        <v>41342</v>
      </c>
      <c r="D51" s="6" t="s">
        <v>349</v>
      </c>
      <c r="E51" s="6" t="s">
        <v>297</v>
      </c>
      <c r="F51" s="33">
        <v>60</v>
      </c>
      <c r="G51" s="6">
        <f t="shared" si="7"/>
        <v>11</v>
      </c>
      <c r="H51" s="89">
        <v>11</v>
      </c>
      <c r="I51" s="89">
        <v>117</v>
      </c>
    </row>
    <row r="52" spans="2:9" x14ac:dyDescent="0.25">
      <c r="B52" s="6">
        <f t="shared" si="6"/>
        <v>1271</v>
      </c>
      <c r="C52" s="5">
        <v>41466</v>
      </c>
      <c r="D52" s="6" t="s">
        <v>349</v>
      </c>
      <c r="E52" s="6" t="s">
        <v>296</v>
      </c>
      <c r="F52" s="33">
        <v>120</v>
      </c>
      <c r="G52" s="6">
        <f t="shared" si="7"/>
        <v>124</v>
      </c>
      <c r="H52" s="44">
        <v>124</v>
      </c>
      <c r="I52" s="44">
        <v>124</v>
      </c>
    </row>
    <row r="53" spans="2:9" x14ac:dyDescent="0.25">
      <c r="B53" s="6">
        <f t="shared" si="6"/>
        <v>1275</v>
      </c>
      <c r="C53" s="5">
        <v>41470</v>
      </c>
      <c r="D53" s="6" t="s">
        <v>349</v>
      </c>
      <c r="E53" s="6" t="s">
        <v>297</v>
      </c>
      <c r="F53" s="33">
        <v>120</v>
      </c>
      <c r="G53" s="6">
        <f t="shared" si="7"/>
        <v>4</v>
      </c>
      <c r="H53" s="89">
        <v>4</v>
      </c>
      <c r="I53" s="44">
        <v>127</v>
      </c>
    </row>
    <row r="54" spans="2:9" x14ac:dyDescent="0.25">
      <c r="B54" s="6">
        <f t="shared" si="6"/>
        <v>1592</v>
      </c>
      <c r="C54" s="5">
        <v>41792</v>
      </c>
      <c r="D54" s="6" t="s">
        <v>349</v>
      </c>
      <c r="E54" s="6" t="s">
        <v>296</v>
      </c>
      <c r="F54" s="6">
        <v>30</v>
      </c>
      <c r="G54" s="6">
        <f t="shared" si="7"/>
        <v>322</v>
      </c>
      <c r="H54" s="44">
        <v>322</v>
      </c>
      <c r="I54" s="44">
        <v>172</v>
      </c>
    </row>
    <row r="55" spans="2:9" x14ac:dyDescent="0.25">
      <c r="B55" s="6">
        <f t="shared" si="6"/>
        <v>1828</v>
      </c>
      <c r="C55" s="5">
        <v>42032</v>
      </c>
      <c r="D55" s="6" t="s">
        <v>349</v>
      </c>
      <c r="E55" s="6" t="s">
        <v>296</v>
      </c>
      <c r="F55" s="30">
        <v>20</v>
      </c>
      <c r="G55" s="6">
        <f t="shared" si="7"/>
        <v>240</v>
      </c>
      <c r="H55" s="89">
        <v>240</v>
      </c>
      <c r="I55" s="89">
        <v>174</v>
      </c>
    </row>
    <row r="56" spans="2:9" x14ac:dyDescent="0.25">
      <c r="B56" s="6">
        <f t="shared" si="6"/>
        <v>1999</v>
      </c>
      <c r="C56" s="5">
        <v>42204</v>
      </c>
      <c r="D56" s="6" t="s">
        <v>349</v>
      </c>
      <c r="E56" s="6" t="s">
        <v>296</v>
      </c>
      <c r="F56" s="30">
        <v>120</v>
      </c>
      <c r="G56" s="6">
        <f t="shared" si="7"/>
        <v>172</v>
      </c>
      <c r="H56" s="44">
        <v>172</v>
      </c>
      <c r="I56" s="89">
        <v>240</v>
      </c>
    </row>
    <row r="57" spans="2:9" x14ac:dyDescent="0.25">
      <c r="B57" s="6">
        <f t="shared" si="6"/>
        <v>2014</v>
      </c>
      <c r="C57" s="5">
        <v>42220</v>
      </c>
      <c r="D57" s="6" t="s">
        <v>349</v>
      </c>
      <c r="E57" s="6" t="s">
        <v>297</v>
      </c>
      <c r="F57" s="30">
        <v>30</v>
      </c>
      <c r="G57" s="6">
        <f t="shared" si="7"/>
        <v>16</v>
      </c>
      <c r="H57" s="89">
        <v>16</v>
      </c>
      <c r="I57" s="89">
        <v>302</v>
      </c>
    </row>
    <row r="58" spans="2:9" x14ac:dyDescent="0.25">
      <c r="B58" s="6">
        <f t="shared" si="6"/>
        <v>2123</v>
      </c>
      <c r="C58" s="5">
        <v>42331</v>
      </c>
      <c r="D58" s="6" t="s">
        <v>349</v>
      </c>
      <c r="E58" s="6" t="s">
        <v>296</v>
      </c>
      <c r="F58" s="30">
        <v>120</v>
      </c>
      <c r="G58" s="6">
        <f t="shared" si="7"/>
        <v>111</v>
      </c>
      <c r="H58" s="44">
        <v>111</v>
      </c>
      <c r="I58" s="44">
        <v>322</v>
      </c>
    </row>
    <row r="59" spans="2:9" x14ac:dyDescent="0.25">
      <c r="B59" s="6">
        <f t="shared" si="6"/>
        <v>309</v>
      </c>
      <c r="C59" s="5">
        <v>40491</v>
      </c>
      <c r="D59" s="6" t="s">
        <v>351</v>
      </c>
      <c r="E59" s="6" t="s">
        <v>296</v>
      </c>
      <c r="F59" s="34">
        <v>120</v>
      </c>
      <c r="G59" s="79" t="s">
        <v>279</v>
      </c>
      <c r="H59" s="79" t="s">
        <v>279</v>
      </c>
      <c r="I59" s="79" t="s">
        <v>279</v>
      </c>
    </row>
    <row r="60" spans="2:9" x14ac:dyDescent="0.25">
      <c r="B60" s="6">
        <f t="shared" si="6"/>
        <v>571</v>
      </c>
      <c r="C60" s="5">
        <v>40756</v>
      </c>
      <c r="D60" s="6" t="s">
        <v>351</v>
      </c>
      <c r="E60" s="6" t="s">
        <v>297</v>
      </c>
      <c r="F60" s="33">
        <v>60</v>
      </c>
      <c r="G60" s="6">
        <f>C60-C59</f>
        <v>265</v>
      </c>
      <c r="H60" s="44">
        <v>265</v>
      </c>
      <c r="I60" s="44">
        <v>1</v>
      </c>
    </row>
    <row r="61" spans="2:9" x14ac:dyDescent="0.25">
      <c r="B61" s="6">
        <f t="shared" si="6"/>
        <v>593</v>
      </c>
      <c r="C61" s="5">
        <v>40778</v>
      </c>
      <c r="D61" s="6" t="s">
        <v>351</v>
      </c>
      <c r="E61" s="6" t="s">
        <v>297</v>
      </c>
      <c r="F61" s="33">
        <v>60</v>
      </c>
      <c r="G61" s="6">
        <f t="shared" ref="G61:G72" si="8">C61-C60</f>
        <v>22</v>
      </c>
      <c r="H61" s="89">
        <v>22</v>
      </c>
      <c r="I61" s="44">
        <v>1</v>
      </c>
    </row>
    <row r="62" spans="2:9" x14ac:dyDescent="0.25">
      <c r="B62" s="6">
        <f t="shared" si="6"/>
        <v>656</v>
      </c>
      <c r="C62" s="5">
        <v>40842</v>
      </c>
      <c r="D62" s="6" t="s">
        <v>351</v>
      </c>
      <c r="E62" s="6" t="s">
        <v>296</v>
      </c>
      <c r="F62" s="33">
        <v>120</v>
      </c>
      <c r="G62" s="6">
        <f t="shared" si="8"/>
        <v>64</v>
      </c>
      <c r="H62" s="44">
        <v>64</v>
      </c>
      <c r="I62" s="89">
        <v>22</v>
      </c>
    </row>
    <row r="63" spans="2:9" x14ac:dyDescent="0.25">
      <c r="B63" s="6">
        <f t="shared" si="6"/>
        <v>730</v>
      </c>
      <c r="C63" s="5">
        <v>40918</v>
      </c>
      <c r="D63" s="30" t="s">
        <v>351</v>
      </c>
      <c r="E63" s="30" t="s">
        <v>297</v>
      </c>
      <c r="F63" s="33">
        <v>60</v>
      </c>
      <c r="G63" s="6">
        <f t="shared" si="8"/>
        <v>76</v>
      </c>
      <c r="H63" s="89">
        <v>76</v>
      </c>
      <c r="I63" s="89">
        <v>23</v>
      </c>
    </row>
    <row r="64" spans="2:9" x14ac:dyDescent="0.25">
      <c r="B64" s="6">
        <f t="shared" si="6"/>
        <v>731</v>
      </c>
      <c r="C64" s="5">
        <v>40919</v>
      </c>
      <c r="D64" s="30" t="s">
        <v>351</v>
      </c>
      <c r="E64" s="30" t="s">
        <v>296</v>
      </c>
      <c r="F64" s="33">
        <v>150</v>
      </c>
      <c r="G64" s="6">
        <f t="shared" si="8"/>
        <v>1</v>
      </c>
      <c r="H64" s="44">
        <v>1</v>
      </c>
      <c r="I64" s="44">
        <v>48</v>
      </c>
    </row>
    <row r="65" spans="2:9" x14ac:dyDescent="0.25">
      <c r="B65" s="6">
        <f t="shared" si="6"/>
        <v>783</v>
      </c>
      <c r="C65" s="5">
        <v>40971</v>
      </c>
      <c r="D65" s="30" t="s">
        <v>351</v>
      </c>
      <c r="E65" s="30" t="s">
        <v>296</v>
      </c>
      <c r="F65" s="33">
        <v>120</v>
      </c>
      <c r="G65" s="6">
        <f t="shared" si="8"/>
        <v>52</v>
      </c>
      <c r="H65" s="89">
        <v>52</v>
      </c>
      <c r="I65" s="89">
        <v>50</v>
      </c>
    </row>
    <row r="66" spans="2:9" x14ac:dyDescent="0.25">
      <c r="B66" s="6">
        <f t="shared" si="6"/>
        <v>784</v>
      </c>
      <c r="C66" s="5">
        <v>40972</v>
      </c>
      <c r="D66" s="30" t="s">
        <v>351</v>
      </c>
      <c r="E66" s="30" t="s">
        <v>296</v>
      </c>
      <c r="F66" s="33">
        <v>90</v>
      </c>
      <c r="G66" s="6">
        <f t="shared" si="8"/>
        <v>1</v>
      </c>
      <c r="H66" s="44">
        <v>1</v>
      </c>
      <c r="I66" s="89">
        <v>52</v>
      </c>
    </row>
    <row r="67" spans="2:9" x14ac:dyDescent="0.25">
      <c r="B67" s="6">
        <f t="shared" si="6"/>
        <v>833</v>
      </c>
      <c r="C67" s="5">
        <v>41022</v>
      </c>
      <c r="D67" s="30" t="s">
        <v>351</v>
      </c>
      <c r="E67" s="30" t="s">
        <v>296</v>
      </c>
      <c r="F67" s="33">
        <v>150</v>
      </c>
      <c r="G67" s="6">
        <f t="shared" si="8"/>
        <v>50</v>
      </c>
      <c r="H67" s="89">
        <v>50</v>
      </c>
      <c r="I67" s="44">
        <v>64</v>
      </c>
    </row>
    <row r="68" spans="2:9" x14ac:dyDescent="0.25">
      <c r="B68" s="6">
        <f t="shared" si="6"/>
        <v>880</v>
      </c>
      <c r="C68" s="5">
        <v>41070</v>
      </c>
      <c r="D68" s="30" t="s">
        <v>351</v>
      </c>
      <c r="E68" s="30" t="s">
        <v>296</v>
      </c>
      <c r="F68" s="33">
        <v>90</v>
      </c>
      <c r="G68" s="6">
        <f t="shared" si="8"/>
        <v>48</v>
      </c>
      <c r="H68" s="44">
        <v>48</v>
      </c>
      <c r="I68" s="89">
        <v>76</v>
      </c>
    </row>
    <row r="69" spans="2:9" x14ac:dyDescent="0.25">
      <c r="B69" s="6">
        <f t="shared" si="6"/>
        <v>977</v>
      </c>
      <c r="C69" s="5">
        <v>41169</v>
      </c>
      <c r="D69" s="30" t="s">
        <v>351</v>
      </c>
      <c r="E69" s="30" t="s">
        <v>296</v>
      </c>
      <c r="F69" s="33">
        <f>3*24*60</f>
        <v>4320</v>
      </c>
      <c r="G69" s="6">
        <f t="shared" si="8"/>
        <v>99</v>
      </c>
      <c r="H69" s="89">
        <v>99</v>
      </c>
      <c r="I69" s="89">
        <v>99</v>
      </c>
    </row>
    <row r="70" spans="2:9" x14ac:dyDescent="0.25">
      <c r="B70" s="6">
        <f>DAYS360("31-12-2009",C70)</f>
        <v>1144</v>
      </c>
      <c r="C70" s="5">
        <v>41337</v>
      </c>
      <c r="D70" s="6" t="s">
        <v>351</v>
      </c>
      <c r="E70" s="6" t="s">
        <v>298</v>
      </c>
      <c r="F70" s="33">
        <f>24*60+5*60</f>
        <v>1740</v>
      </c>
      <c r="G70" s="6">
        <f t="shared" si="8"/>
        <v>168</v>
      </c>
      <c r="H70" s="44">
        <v>168</v>
      </c>
      <c r="I70" s="44">
        <v>125</v>
      </c>
    </row>
    <row r="71" spans="2:9" x14ac:dyDescent="0.25">
      <c r="B71" s="6">
        <f>DAYS360("31-12-2009",C71)</f>
        <v>1167</v>
      </c>
      <c r="C71" s="5">
        <v>41360</v>
      </c>
      <c r="D71" s="6" t="s">
        <v>351</v>
      </c>
      <c r="E71" s="6" t="s">
        <v>296</v>
      </c>
      <c r="F71" s="33">
        <v>120</v>
      </c>
      <c r="G71" s="6">
        <f t="shared" si="8"/>
        <v>23</v>
      </c>
      <c r="H71" s="89">
        <v>23</v>
      </c>
      <c r="I71" s="44">
        <v>168</v>
      </c>
    </row>
    <row r="72" spans="2:9" x14ac:dyDescent="0.25">
      <c r="B72" s="6">
        <f>DAYS360("31-12-2009",C72)</f>
        <v>1290</v>
      </c>
      <c r="C72" s="5">
        <v>41485</v>
      </c>
      <c r="D72" s="6" t="s">
        <v>351</v>
      </c>
      <c r="E72" s="6" t="s">
        <v>297</v>
      </c>
      <c r="F72" s="33">
        <v>180</v>
      </c>
      <c r="G72" s="6">
        <f t="shared" si="8"/>
        <v>125</v>
      </c>
      <c r="H72" s="44">
        <v>125</v>
      </c>
      <c r="I72" s="44">
        <v>265</v>
      </c>
    </row>
    <row r="73" spans="2:9" x14ac:dyDescent="0.25">
      <c r="B73" s="6">
        <f>DAYS360("31-12-2009",C73)</f>
        <v>438</v>
      </c>
      <c r="C73" s="5">
        <v>40620</v>
      </c>
      <c r="D73" s="6" t="s">
        <v>350</v>
      </c>
      <c r="E73" s="6" t="s">
        <v>297</v>
      </c>
      <c r="F73" s="33">
        <v>300</v>
      </c>
      <c r="G73" s="79" t="s">
        <v>279</v>
      </c>
      <c r="H73" s="79" t="s">
        <v>279</v>
      </c>
      <c r="I73" s="79" t="s">
        <v>279</v>
      </c>
    </row>
    <row r="74" spans="2:9" x14ac:dyDescent="0.25">
      <c r="B74" s="6">
        <f t="shared" ref="B74:B75" si="9">DAYS360("31-12-2009",C74)</f>
        <v>1391</v>
      </c>
      <c r="C74" s="5">
        <v>41589</v>
      </c>
      <c r="D74" s="6" t="s">
        <v>350</v>
      </c>
      <c r="E74" s="6" t="s">
        <v>297</v>
      </c>
      <c r="F74" s="33">
        <v>240</v>
      </c>
      <c r="G74" s="6">
        <f>C74-C73</f>
        <v>969</v>
      </c>
      <c r="H74" s="44">
        <v>969</v>
      </c>
      <c r="I74" s="44">
        <v>14</v>
      </c>
    </row>
    <row r="75" spans="2:9" x14ac:dyDescent="0.25">
      <c r="B75" s="6">
        <f t="shared" si="9"/>
        <v>1405</v>
      </c>
      <c r="C75" s="5">
        <v>41603</v>
      </c>
      <c r="D75" s="6" t="s">
        <v>350</v>
      </c>
      <c r="E75" s="6" t="s">
        <v>297</v>
      </c>
      <c r="F75" s="33">
        <f>8*60</f>
        <v>480</v>
      </c>
      <c r="G75" s="6">
        <f>C75-C74</f>
        <v>14</v>
      </c>
      <c r="H75" s="89">
        <v>14</v>
      </c>
      <c r="I75" s="89">
        <v>969</v>
      </c>
    </row>
    <row r="76" spans="2:9" x14ac:dyDescent="0.25">
      <c r="B76" s="6">
        <f>DAYS360("31-12-2009",C76)</f>
        <v>289</v>
      </c>
      <c r="C76" s="5">
        <v>40470</v>
      </c>
      <c r="D76" s="6" t="s">
        <v>352</v>
      </c>
      <c r="E76" s="6" t="s">
        <v>296</v>
      </c>
      <c r="F76" s="34">
        <v>120</v>
      </c>
      <c r="G76" s="79" t="s">
        <v>279</v>
      </c>
      <c r="H76" s="79" t="s">
        <v>279</v>
      </c>
      <c r="I76" s="79" t="s">
        <v>279</v>
      </c>
    </row>
    <row r="77" spans="2:9" x14ac:dyDescent="0.25">
      <c r="B77" s="6">
        <f t="shared" ref="B77:B81" si="10">DAYS360("31-12-2009",C77)</f>
        <v>742</v>
      </c>
      <c r="C77" s="5">
        <v>40930</v>
      </c>
      <c r="D77" s="30" t="s">
        <v>352</v>
      </c>
      <c r="E77" s="30" t="s">
        <v>297</v>
      </c>
      <c r="F77" s="33">
        <v>120</v>
      </c>
      <c r="G77" s="6">
        <f>C77-C76</f>
        <v>460</v>
      </c>
      <c r="H77" s="89">
        <v>460</v>
      </c>
      <c r="I77" s="89">
        <v>6</v>
      </c>
    </row>
    <row r="78" spans="2:9" x14ac:dyDescent="0.25">
      <c r="B78" s="6">
        <f t="shared" si="10"/>
        <v>748</v>
      </c>
      <c r="C78" s="5">
        <v>40936</v>
      </c>
      <c r="D78" s="30" t="s">
        <v>352</v>
      </c>
      <c r="E78" s="30" t="s">
        <v>296</v>
      </c>
      <c r="F78" s="33">
        <v>90</v>
      </c>
      <c r="G78" s="6">
        <f t="shared" ref="G78:G82" si="11">C78-C77</f>
        <v>6</v>
      </c>
      <c r="H78" s="89">
        <v>6</v>
      </c>
      <c r="I78" s="89">
        <v>6</v>
      </c>
    </row>
    <row r="79" spans="2:9" x14ac:dyDescent="0.25">
      <c r="B79" s="6">
        <f t="shared" si="10"/>
        <v>753</v>
      </c>
      <c r="C79" s="5">
        <v>40942</v>
      </c>
      <c r="D79" s="30" t="s">
        <v>352</v>
      </c>
      <c r="E79" s="30" t="s">
        <v>296</v>
      </c>
      <c r="F79" s="33">
        <v>60</v>
      </c>
      <c r="G79" s="6">
        <f t="shared" si="11"/>
        <v>6</v>
      </c>
      <c r="H79" s="89">
        <v>6</v>
      </c>
      <c r="I79" s="89">
        <v>26</v>
      </c>
    </row>
    <row r="80" spans="2:9" x14ac:dyDescent="0.25">
      <c r="B80" s="6">
        <f t="shared" si="10"/>
        <v>779</v>
      </c>
      <c r="C80" s="5">
        <v>40968</v>
      </c>
      <c r="D80" s="30" t="s">
        <v>352</v>
      </c>
      <c r="E80" s="30" t="s">
        <v>297</v>
      </c>
      <c r="F80" s="33">
        <v>240</v>
      </c>
      <c r="G80" s="6">
        <f t="shared" si="11"/>
        <v>26</v>
      </c>
      <c r="H80" s="89">
        <v>26</v>
      </c>
      <c r="I80" s="89">
        <v>173</v>
      </c>
    </row>
    <row r="81" spans="2:9" x14ac:dyDescent="0.25">
      <c r="B81" s="6">
        <f t="shared" si="10"/>
        <v>982</v>
      </c>
      <c r="C81" s="5">
        <v>41174</v>
      </c>
      <c r="D81" s="30" t="s">
        <v>352</v>
      </c>
      <c r="E81" s="30" t="s">
        <v>297</v>
      </c>
      <c r="F81" s="33">
        <f>6*24*60</f>
        <v>8640</v>
      </c>
      <c r="G81" s="6">
        <f t="shared" si="11"/>
        <v>206</v>
      </c>
      <c r="H81" s="89">
        <v>206</v>
      </c>
      <c r="I81" s="89">
        <v>206</v>
      </c>
    </row>
    <row r="82" spans="2:9" x14ac:dyDescent="0.25">
      <c r="B82" s="6">
        <f>DAYS360("31-12-2009",C82)</f>
        <v>1154</v>
      </c>
      <c r="C82" s="5">
        <v>41347</v>
      </c>
      <c r="D82" s="6" t="s">
        <v>352</v>
      </c>
      <c r="E82" s="6" t="s">
        <v>296</v>
      </c>
      <c r="F82" s="33">
        <f>12*60</f>
        <v>720</v>
      </c>
      <c r="G82" s="6">
        <f t="shared" si="11"/>
        <v>173</v>
      </c>
      <c r="H82" s="89">
        <v>173</v>
      </c>
      <c r="I82" s="89">
        <v>460</v>
      </c>
    </row>
    <row r="84" spans="2:9" x14ac:dyDescent="0.25">
      <c r="B84" s="132" t="s">
        <v>295</v>
      </c>
      <c r="C84" s="133"/>
      <c r="D84" s="134"/>
    </row>
    <row r="85" spans="2:9" x14ac:dyDescent="0.25">
      <c r="B85" s="98" t="s">
        <v>296</v>
      </c>
      <c r="C85" s="135" t="s">
        <v>299</v>
      </c>
      <c r="D85" s="135"/>
    </row>
    <row r="86" spans="2:9" x14ac:dyDescent="0.25">
      <c r="B86" s="98" t="s">
        <v>297</v>
      </c>
      <c r="C86" s="135" t="s">
        <v>300</v>
      </c>
      <c r="D86" s="135"/>
    </row>
    <row r="87" spans="2:9" x14ac:dyDescent="0.25">
      <c r="B87" s="98" t="s">
        <v>298</v>
      </c>
      <c r="C87" s="135" t="s">
        <v>302</v>
      </c>
      <c r="D87" s="135"/>
    </row>
  </sheetData>
  <sheetProtection sheet="1" objects="1" scenarios="1"/>
  <mergeCells count="17">
    <mergeCell ref="Z3:AB3"/>
    <mergeCell ref="K4:M4"/>
    <mergeCell ref="N4:P4"/>
    <mergeCell ref="Q4:S4"/>
    <mergeCell ref="T4:V4"/>
    <mergeCell ref="W4:Y4"/>
    <mergeCell ref="Z4:AB4"/>
    <mergeCell ref="K3:M3"/>
    <mergeCell ref="N3:P3"/>
    <mergeCell ref="Q3:S3"/>
    <mergeCell ref="T3:V3"/>
    <mergeCell ref="W3:Y3"/>
    <mergeCell ref="B84:D84"/>
    <mergeCell ref="C85:D85"/>
    <mergeCell ref="C86:D86"/>
    <mergeCell ref="C87:D87"/>
    <mergeCell ref="B2:I3"/>
  </mergeCells>
  <pageMargins left="0.7" right="0.7" top="0.75" bottom="0.75" header="0.3" footer="0.3"/>
  <pageSetup paperSize="9" orientation="portrait" r:id="rId1"/>
  <drawing r:id="rId2"/>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B2:AP88"/>
  <sheetViews>
    <sheetView topLeftCell="B1" zoomScale="85" zoomScaleNormal="85" workbookViewId="0">
      <selection activeCell="AC40" sqref="AC40"/>
    </sheetView>
  </sheetViews>
  <sheetFormatPr defaultRowHeight="15" x14ac:dyDescent="0.25"/>
  <cols>
    <col min="1" max="1" width="3" customWidth="1"/>
    <col min="2" max="2" width="10.42578125" bestFit="1" customWidth="1"/>
    <col min="3" max="3" width="12" bestFit="1" customWidth="1"/>
    <col min="4" max="4" width="10.42578125" bestFit="1" customWidth="1"/>
    <col min="5" max="5" width="22.85546875" bestFit="1" customWidth="1"/>
    <col min="7" max="7" width="10.85546875" bestFit="1" customWidth="1"/>
    <col min="8" max="8" width="14.85546875" bestFit="1" customWidth="1"/>
    <col min="9" max="9" width="12" bestFit="1" customWidth="1"/>
    <col min="10" max="10" width="11.28515625" bestFit="1" customWidth="1"/>
    <col min="11" max="11" width="11.28515625" customWidth="1"/>
    <col min="12" max="12" width="12.28515625" bestFit="1" customWidth="1"/>
    <col min="13" max="13" width="13.7109375" bestFit="1" customWidth="1"/>
    <col min="14" max="15" width="12" bestFit="1" customWidth="1"/>
    <col min="16" max="16" width="12" customWidth="1"/>
    <col min="17" max="17" width="14" bestFit="1" customWidth="1"/>
    <col min="18" max="18" width="12.28515625" bestFit="1" customWidth="1"/>
    <col min="20" max="21" width="10.42578125" bestFit="1" customWidth="1"/>
    <col min="22" max="22" width="21.42578125" bestFit="1" customWidth="1"/>
    <col min="24" max="24" width="10.85546875" bestFit="1" customWidth="1"/>
    <col min="25" max="25" width="14.85546875" bestFit="1" customWidth="1"/>
    <col min="26" max="26" width="12" bestFit="1" customWidth="1"/>
    <col min="27" max="27" width="11.42578125" bestFit="1" customWidth="1"/>
    <col min="28" max="29" width="11.42578125" customWidth="1"/>
    <col min="30" max="30" width="13.7109375" bestFit="1" customWidth="1"/>
    <col min="31" max="33" width="12" bestFit="1" customWidth="1"/>
    <col min="34" max="34" width="14" bestFit="1" customWidth="1"/>
    <col min="35" max="35" width="10.85546875" bestFit="1" customWidth="1"/>
    <col min="37" max="42" width="12.28515625" customWidth="1"/>
  </cols>
  <sheetData>
    <row r="2" spans="2:42" ht="15" customHeight="1" x14ac:dyDescent="0.25">
      <c r="B2" s="123" t="s">
        <v>407</v>
      </c>
      <c r="C2" s="123"/>
      <c r="D2" s="123"/>
      <c r="E2" s="123"/>
      <c r="F2" s="123"/>
      <c r="G2" s="123"/>
      <c r="H2" s="123"/>
      <c r="I2" s="123"/>
      <c r="J2" s="123"/>
      <c r="K2" s="123"/>
      <c r="L2" s="123"/>
      <c r="M2" s="123"/>
      <c r="N2" s="123"/>
      <c r="O2" s="123"/>
      <c r="P2" s="123"/>
      <c r="Q2" s="123"/>
      <c r="R2" s="123"/>
      <c r="T2" s="123" t="s">
        <v>408</v>
      </c>
      <c r="U2" s="123"/>
      <c r="V2" s="123"/>
      <c r="W2" s="123"/>
      <c r="X2" s="123"/>
      <c r="Y2" s="123"/>
      <c r="Z2" s="123"/>
      <c r="AA2" s="123"/>
      <c r="AB2" s="123"/>
      <c r="AC2" s="123"/>
      <c r="AD2" s="123"/>
      <c r="AE2" s="123"/>
      <c r="AF2" s="123"/>
      <c r="AG2" s="123"/>
      <c r="AH2" s="123"/>
      <c r="AI2" s="123"/>
      <c r="AJ2" t="s">
        <v>271</v>
      </c>
    </row>
    <row r="3" spans="2:42" ht="15" customHeight="1" x14ac:dyDescent="0.25">
      <c r="B3" s="123"/>
      <c r="C3" s="123"/>
      <c r="D3" s="123"/>
      <c r="E3" s="123"/>
      <c r="F3" s="123"/>
      <c r="G3" s="123"/>
      <c r="H3" s="123"/>
      <c r="I3" s="123"/>
      <c r="J3" s="123"/>
      <c r="K3" s="123"/>
      <c r="L3" s="123"/>
      <c r="M3" s="123"/>
      <c r="N3" s="123"/>
      <c r="O3" s="123"/>
      <c r="P3" s="123"/>
      <c r="Q3" s="123"/>
      <c r="R3" s="123"/>
      <c r="T3" s="123"/>
      <c r="U3" s="123"/>
      <c r="V3" s="123"/>
      <c r="W3" s="123"/>
      <c r="X3" s="123"/>
      <c r="Y3" s="123"/>
      <c r="Z3" s="123"/>
      <c r="AA3" s="123"/>
      <c r="AB3" s="123"/>
      <c r="AC3" s="123"/>
      <c r="AD3" s="123"/>
      <c r="AE3" s="123"/>
      <c r="AF3" s="123"/>
      <c r="AG3" s="123"/>
      <c r="AH3" s="123"/>
      <c r="AI3" s="123"/>
      <c r="AK3" s="123" t="s">
        <v>6</v>
      </c>
      <c r="AL3" s="123"/>
      <c r="AM3" s="123"/>
      <c r="AN3" s="140" t="s">
        <v>359</v>
      </c>
      <c r="AO3" s="141"/>
      <c r="AP3" s="142"/>
    </row>
    <row r="4" spans="2:42" x14ac:dyDescent="0.25">
      <c r="B4" s="7" t="s">
        <v>165</v>
      </c>
      <c r="C4" s="7" t="s">
        <v>168</v>
      </c>
      <c r="D4" s="7" t="s">
        <v>5</v>
      </c>
      <c r="E4" s="7" t="s">
        <v>2</v>
      </c>
      <c r="F4" s="7" t="s">
        <v>185</v>
      </c>
      <c r="G4" s="7" t="s">
        <v>191</v>
      </c>
      <c r="H4" s="7" t="s">
        <v>192</v>
      </c>
      <c r="I4" s="7" t="s">
        <v>194</v>
      </c>
      <c r="J4" s="7" t="s">
        <v>194</v>
      </c>
      <c r="K4" s="7" t="s">
        <v>223</v>
      </c>
      <c r="L4" s="7" t="s">
        <v>238</v>
      </c>
      <c r="M4" s="7" t="s">
        <v>236</v>
      </c>
      <c r="N4" s="41" t="s">
        <v>208</v>
      </c>
      <c r="O4" s="41" t="s">
        <v>230</v>
      </c>
      <c r="P4" s="41" t="s">
        <v>231</v>
      </c>
      <c r="Q4" s="41" t="s">
        <v>211</v>
      </c>
      <c r="R4" s="41" t="s">
        <v>260</v>
      </c>
      <c r="T4" s="7" t="s">
        <v>165</v>
      </c>
      <c r="U4" s="7" t="s">
        <v>5</v>
      </c>
      <c r="V4" s="7" t="s">
        <v>197</v>
      </c>
      <c r="W4" s="7" t="s">
        <v>185</v>
      </c>
      <c r="X4" s="7" t="s">
        <v>191</v>
      </c>
      <c r="Y4" s="7" t="s">
        <v>192</v>
      </c>
      <c r="Z4" s="7" t="s">
        <v>198</v>
      </c>
      <c r="AA4" s="7" t="s">
        <v>198</v>
      </c>
      <c r="AB4" s="7" t="s">
        <v>224</v>
      </c>
      <c r="AC4" s="7" t="s">
        <v>238</v>
      </c>
      <c r="AD4" s="7" t="s">
        <v>236</v>
      </c>
      <c r="AE4" s="41" t="s">
        <v>208</v>
      </c>
      <c r="AF4" s="41" t="s">
        <v>230</v>
      </c>
      <c r="AG4" s="41" t="s">
        <v>231</v>
      </c>
      <c r="AH4" s="41" t="s">
        <v>211</v>
      </c>
      <c r="AI4" s="41" t="s">
        <v>260</v>
      </c>
      <c r="AJ4" s="75" t="s">
        <v>264</v>
      </c>
      <c r="AK4" s="76" t="s">
        <v>265</v>
      </c>
      <c r="AL4" s="76" t="s">
        <v>265</v>
      </c>
      <c r="AM4" s="76" t="s">
        <v>265</v>
      </c>
      <c r="AN4" s="76" t="s">
        <v>265</v>
      </c>
      <c r="AO4" s="76" t="s">
        <v>265</v>
      </c>
      <c r="AP4" s="76" t="s">
        <v>265</v>
      </c>
    </row>
    <row r="5" spans="2:42" x14ac:dyDescent="0.25">
      <c r="B5" s="8"/>
      <c r="C5" s="8"/>
      <c r="D5" s="9"/>
      <c r="E5" s="9"/>
      <c r="F5" s="9" t="s">
        <v>187</v>
      </c>
      <c r="G5" s="9"/>
      <c r="H5" s="9" t="s">
        <v>187</v>
      </c>
      <c r="I5" s="9" t="s">
        <v>187</v>
      </c>
      <c r="J5" s="9" t="s">
        <v>199</v>
      </c>
      <c r="K5" s="9" t="s">
        <v>187</v>
      </c>
      <c r="L5" s="9" t="s">
        <v>237</v>
      </c>
      <c r="M5" s="9" t="s">
        <v>237</v>
      </c>
      <c r="N5" s="42" t="s">
        <v>257</v>
      </c>
      <c r="O5" s="42" t="s">
        <v>257</v>
      </c>
      <c r="P5" s="42" t="s">
        <v>257</v>
      </c>
      <c r="Q5" s="42" t="s">
        <v>257</v>
      </c>
      <c r="R5" s="42" t="s">
        <v>263</v>
      </c>
      <c r="T5" s="8"/>
      <c r="U5" s="9"/>
      <c r="V5" s="9"/>
      <c r="W5" s="9" t="s">
        <v>187</v>
      </c>
      <c r="X5" s="9"/>
      <c r="Y5" s="9" t="s">
        <v>187</v>
      </c>
      <c r="Z5" s="9" t="s">
        <v>187</v>
      </c>
      <c r="AA5" s="9" t="s">
        <v>199</v>
      </c>
      <c r="AB5" s="9" t="s">
        <v>187</v>
      </c>
      <c r="AC5" s="9" t="s">
        <v>237</v>
      </c>
      <c r="AD5" s="9" t="s">
        <v>237</v>
      </c>
      <c r="AE5" s="42" t="s">
        <v>257</v>
      </c>
      <c r="AF5" s="42" t="s">
        <v>257</v>
      </c>
      <c r="AG5" s="42" t="s">
        <v>257</v>
      </c>
      <c r="AH5" s="42" t="s">
        <v>257</v>
      </c>
      <c r="AI5" s="42" t="s">
        <v>263</v>
      </c>
      <c r="AJ5" s="42" t="s">
        <v>269</v>
      </c>
      <c r="AK5" s="42" t="s">
        <v>273</v>
      </c>
      <c r="AL5" s="42" t="s">
        <v>275</v>
      </c>
      <c r="AM5" s="42" t="s">
        <v>276</v>
      </c>
      <c r="AN5" s="42" t="s">
        <v>270</v>
      </c>
      <c r="AO5" s="42" t="s">
        <v>272</v>
      </c>
      <c r="AP5" s="42" t="s">
        <v>274</v>
      </c>
    </row>
    <row r="6" spans="2:42" x14ac:dyDescent="0.25">
      <c r="B6" s="6">
        <f>DAYS360("31-12-2009",D6)</f>
        <v>125</v>
      </c>
      <c r="C6" s="10">
        <v>1</v>
      </c>
      <c r="D6" s="5">
        <v>40303</v>
      </c>
      <c r="E6" s="6" t="s">
        <v>406</v>
      </c>
      <c r="F6" s="34">
        <v>30</v>
      </c>
      <c r="G6" s="31"/>
      <c r="H6" s="31"/>
      <c r="I6" s="31"/>
      <c r="J6" s="31"/>
      <c r="K6" s="31"/>
      <c r="L6" s="6">
        <f>F6-$F$15</f>
        <v>-371.66666666666669</v>
      </c>
      <c r="M6" s="33">
        <f t="shared" ref="M6:M13" si="0">SQRT((L6*L6)/COUNT($B$6:$B$14))</f>
        <v>123.8888888888889</v>
      </c>
      <c r="N6" s="31"/>
      <c r="O6" s="31"/>
      <c r="P6" s="31"/>
      <c r="Q6" s="31"/>
      <c r="R6" s="31"/>
      <c r="T6" s="6">
        <f>DAYS360("31-12-2009",U6)</f>
        <v>1028</v>
      </c>
      <c r="U6" s="5">
        <v>41221</v>
      </c>
      <c r="V6" s="6" t="s">
        <v>402</v>
      </c>
      <c r="W6" s="33">
        <v>120</v>
      </c>
      <c r="X6" s="6">
        <f>COUNT(W6)</f>
        <v>1</v>
      </c>
      <c r="Y6" s="6">
        <f>SUM(W6)</f>
        <v>120</v>
      </c>
      <c r="Z6" s="6">
        <f>($F$18-Y6)/X6</f>
        <v>518280</v>
      </c>
      <c r="AA6" s="6">
        <f>INT(Z6/60/24)</f>
        <v>359</v>
      </c>
      <c r="AB6" s="6">
        <f>Y6/X6</f>
        <v>120</v>
      </c>
      <c r="AC6" s="6">
        <f>Y6-W7</f>
        <v>0</v>
      </c>
      <c r="AD6" s="33">
        <f>SQRT((AC6*AC6)/COUNT(W6))</f>
        <v>0</v>
      </c>
      <c r="AE6" s="6">
        <f>1/AA6</f>
        <v>2.7855153203342618E-3</v>
      </c>
      <c r="AF6" s="6">
        <f>AE6*EXP(-AE6*(365*1))</f>
        <v>1.007749673042332E-3</v>
      </c>
      <c r="AG6" s="6">
        <f>1-EXP(-AE6*(365*1))</f>
        <v>0.63821786737780273</v>
      </c>
      <c r="AH6" s="6">
        <f>EXP(-AE6*(365*1))</f>
        <v>0.36178213262219722</v>
      </c>
      <c r="AI6" s="6">
        <f>$F$18/(Y6+$F$18)*100</f>
        <v>99.976857208979411</v>
      </c>
      <c r="AJ6">
        <v>1</v>
      </c>
      <c r="AK6" s="6">
        <f>EXP(-$AE$6*(AJ6))</f>
        <v>0.99721836062779279</v>
      </c>
      <c r="AL6" s="6">
        <f>EXP(-$AE$9*(AJ6))</f>
        <v>0.99439777379699545</v>
      </c>
      <c r="AM6" s="6">
        <f>EXP(-$AE$13*(AJ6))</f>
        <v>0.99163184820119987</v>
      </c>
      <c r="AN6" s="6">
        <f>EXP(-$AE$15*(AJ6))</f>
        <v>0.99721836062779279</v>
      </c>
      <c r="AO6" s="6">
        <f>EXP(-$AE$17*(AJ6))</f>
        <v>0.99721836062779279</v>
      </c>
      <c r="AP6" s="6">
        <f>EXP(-$AE$19*(AJ6))</f>
        <v>0.99721836062779279</v>
      </c>
    </row>
    <row r="7" spans="2:42" x14ac:dyDescent="0.25">
      <c r="B7" s="6">
        <f t="shared" ref="B7:B14" si="1">DAYS360("31-12-2009",D7)</f>
        <v>497</v>
      </c>
      <c r="C7" s="14">
        <v>1</v>
      </c>
      <c r="D7" s="5">
        <v>40680</v>
      </c>
      <c r="E7" s="6" t="s">
        <v>406</v>
      </c>
      <c r="F7" s="33">
        <v>120</v>
      </c>
      <c r="G7" s="31"/>
      <c r="H7" s="31"/>
      <c r="I7" s="31"/>
      <c r="J7" s="31"/>
      <c r="K7" s="31"/>
      <c r="L7" s="6">
        <f t="shared" ref="L7:L14" si="2">F7-$F$15</f>
        <v>-281.66666666666669</v>
      </c>
      <c r="M7" s="33">
        <f t="shared" si="0"/>
        <v>93.8888888888889</v>
      </c>
      <c r="N7" s="31"/>
      <c r="O7" s="31"/>
      <c r="P7" s="31"/>
      <c r="Q7" s="31"/>
      <c r="R7" s="31"/>
      <c r="T7" s="62"/>
      <c r="U7" s="72"/>
      <c r="V7" s="63" t="s">
        <v>235</v>
      </c>
      <c r="W7" s="64">
        <f>AVERAGE(W6)</f>
        <v>120</v>
      </c>
      <c r="X7" s="62"/>
      <c r="Y7" s="62"/>
      <c r="Z7" s="62"/>
      <c r="AA7" s="62"/>
      <c r="AB7" s="62"/>
      <c r="AC7" s="62"/>
      <c r="AD7" s="62"/>
      <c r="AE7" s="62"/>
      <c r="AF7" s="62"/>
      <c r="AG7" s="62"/>
      <c r="AH7" s="62"/>
      <c r="AI7" s="62"/>
      <c r="AJ7">
        <f>AJ6+5</f>
        <v>6</v>
      </c>
      <c r="AK7" s="6">
        <f t="shared" ref="AK7:AK70" si="3">EXP(-$AE$6*(AJ7))</f>
        <v>0.98342579696807908</v>
      </c>
      <c r="AL7" s="6">
        <f t="shared" ref="AL7:AL70" si="4">EXP(-$AE$9*(AJ7))</f>
        <v>0.96685391509006513</v>
      </c>
      <c r="AM7" s="6">
        <f t="shared" ref="AM7:AM70" si="5">EXP(-$AE$13*(AJ7))</f>
        <v>0.95082983222576778</v>
      </c>
      <c r="AN7" s="6">
        <f t="shared" ref="AN7:AN70" si="6">EXP(-$AE$15*(AJ7))</f>
        <v>0.98342579696807908</v>
      </c>
      <c r="AO7" s="6">
        <f t="shared" ref="AO7:AO70" si="7">EXP(-$AE$17*(AJ7))</f>
        <v>0.98342579696807908</v>
      </c>
      <c r="AP7" s="6">
        <f t="shared" ref="AP7:AP70" si="8">EXP(-$AE$19*(AJ7))</f>
        <v>0.98342579696807908</v>
      </c>
    </row>
    <row r="8" spans="2:42" x14ac:dyDescent="0.25">
      <c r="B8" s="6">
        <f t="shared" si="1"/>
        <v>801</v>
      </c>
      <c r="C8" s="14">
        <v>1</v>
      </c>
      <c r="D8" s="5">
        <v>40989</v>
      </c>
      <c r="E8" s="6" t="s">
        <v>406</v>
      </c>
      <c r="F8" s="33">
        <v>60</v>
      </c>
      <c r="G8" s="31"/>
      <c r="H8" s="31"/>
      <c r="I8" s="31"/>
      <c r="J8" s="31"/>
      <c r="K8" s="31"/>
      <c r="L8" s="6">
        <f t="shared" si="2"/>
        <v>-341.66666666666669</v>
      </c>
      <c r="M8" s="33">
        <f t="shared" si="0"/>
        <v>113.8888888888889</v>
      </c>
      <c r="N8" s="31"/>
      <c r="O8" s="31"/>
      <c r="P8" s="31"/>
      <c r="Q8" s="31"/>
      <c r="R8" s="31"/>
      <c r="T8" s="6">
        <f t="shared" ref="T8:T9" si="9">DAYS360("31-12-2009",U8)</f>
        <v>1549</v>
      </c>
      <c r="U8" s="5">
        <v>41748</v>
      </c>
      <c r="V8" s="6" t="s">
        <v>402</v>
      </c>
      <c r="W8" s="6">
        <v>2880</v>
      </c>
      <c r="X8" s="31"/>
      <c r="Y8" s="31"/>
      <c r="Z8" s="31"/>
      <c r="AA8" s="31"/>
      <c r="AB8" s="31"/>
      <c r="AC8" s="31"/>
      <c r="AD8" s="31"/>
      <c r="AE8" s="31"/>
      <c r="AF8" s="31"/>
      <c r="AG8" s="31"/>
      <c r="AH8" s="31"/>
      <c r="AI8" s="31"/>
      <c r="AJ8">
        <f t="shared" ref="AJ8:AJ71" si="10">AJ7+5</f>
        <v>11</v>
      </c>
      <c r="AK8" s="6">
        <f t="shared" si="3"/>
        <v>0.96982399876136749</v>
      </c>
      <c r="AL8" s="6">
        <f t="shared" si="4"/>
        <v>0.94007299468856809</v>
      </c>
      <c r="AM8" s="6">
        <f t="shared" si="5"/>
        <v>0.91170666965815983</v>
      </c>
      <c r="AN8" s="6">
        <f t="shared" si="6"/>
        <v>0.96982399876136749</v>
      </c>
      <c r="AO8" s="6">
        <f t="shared" si="7"/>
        <v>0.96982399876136749</v>
      </c>
      <c r="AP8" s="6">
        <f t="shared" si="8"/>
        <v>0.96982399876136749</v>
      </c>
    </row>
    <row r="9" spans="2:42" x14ac:dyDescent="0.25">
      <c r="B9" s="6">
        <f t="shared" si="1"/>
        <v>1028</v>
      </c>
      <c r="C9" s="14">
        <v>1</v>
      </c>
      <c r="D9" s="5">
        <v>41221</v>
      </c>
      <c r="E9" s="6" t="s">
        <v>406</v>
      </c>
      <c r="F9" s="33">
        <v>120</v>
      </c>
      <c r="G9" s="31"/>
      <c r="H9" s="31"/>
      <c r="I9" s="31"/>
      <c r="J9" s="31"/>
      <c r="K9" s="31"/>
      <c r="L9" s="6">
        <f t="shared" si="2"/>
        <v>-281.66666666666669</v>
      </c>
      <c r="M9" s="33">
        <f t="shared" si="0"/>
        <v>93.8888888888889</v>
      </c>
      <c r="N9" s="31"/>
      <c r="O9" s="31"/>
      <c r="P9" s="31"/>
      <c r="Q9" s="31"/>
      <c r="R9" s="31"/>
      <c r="T9" s="6">
        <f t="shared" si="9"/>
        <v>1774</v>
      </c>
      <c r="U9" s="5">
        <v>41977</v>
      </c>
      <c r="V9" s="6" t="s">
        <v>402</v>
      </c>
      <c r="W9" s="6">
        <v>120</v>
      </c>
      <c r="X9" s="6">
        <f>COUNT(W8:W9)</f>
        <v>2</v>
      </c>
      <c r="Y9" s="6">
        <f>SUM(W8:W9)</f>
        <v>3000</v>
      </c>
      <c r="Z9" s="6">
        <f>($F$18-Y9)/X9</f>
        <v>257700</v>
      </c>
      <c r="AA9" s="6">
        <f>INT(Z9/60/24)</f>
        <v>178</v>
      </c>
      <c r="AB9" s="6">
        <f>Y9/X9</f>
        <v>1500</v>
      </c>
      <c r="AC9" s="6">
        <f>Y9-W10</f>
        <v>1500</v>
      </c>
      <c r="AD9" s="33">
        <f>SQRT((AC9*AC9)/COUNT(W8:W9))</f>
        <v>1060.6601717798212</v>
      </c>
      <c r="AE9" s="6">
        <f>1/AA9</f>
        <v>5.6179775280898875E-3</v>
      </c>
      <c r="AF9" s="6">
        <f>AE9*EXP(-AE9*(365*1))</f>
        <v>7.2282360067359749E-4</v>
      </c>
      <c r="AG9" s="6">
        <f>1-EXP(-AE9*(365*1))</f>
        <v>0.87133739908009966</v>
      </c>
      <c r="AH9" s="6">
        <f>EXP(-AE9*(365*1))</f>
        <v>0.12866260091990037</v>
      </c>
      <c r="AI9" s="6">
        <f>$F$18/(Y9+$F$18)*100</f>
        <v>99.424626006904489</v>
      </c>
      <c r="AJ9">
        <f t="shared" si="10"/>
        <v>16</v>
      </c>
      <c r="AK9" s="6">
        <f t="shared" si="3"/>
        <v>0.95641032752369259</v>
      </c>
      <c r="AL9" s="6">
        <f t="shared" si="4"/>
        <v>0.91403387993770491</v>
      </c>
      <c r="AM9" s="6">
        <f t="shared" si="5"/>
        <v>0.87419328183406031</v>
      </c>
      <c r="AN9" s="6">
        <f t="shared" si="6"/>
        <v>0.95641032752369259</v>
      </c>
      <c r="AO9" s="6">
        <f t="shared" si="7"/>
        <v>0.95641032752369259</v>
      </c>
      <c r="AP9" s="6">
        <f t="shared" si="8"/>
        <v>0.95641032752369259</v>
      </c>
    </row>
    <row r="10" spans="2:42" x14ac:dyDescent="0.25">
      <c r="B10" s="6">
        <f t="shared" si="1"/>
        <v>1549</v>
      </c>
      <c r="C10" s="10">
        <v>1</v>
      </c>
      <c r="D10" s="5">
        <v>41748</v>
      </c>
      <c r="E10" s="6" t="s">
        <v>406</v>
      </c>
      <c r="F10" s="6">
        <v>2880</v>
      </c>
      <c r="G10" s="31"/>
      <c r="H10" s="31"/>
      <c r="I10" s="31"/>
      <c r="J10" s="31"/>
      <c r="K10" s="31"/>
      <c r="L10" s="6">
        <f t="shared" si="2"/>
        <v>2478.3333333333335</v>
      </c>
      <c r="M10" s="33">
        <f t="shared" si="0"/>
        <v>826.11111111111109</v>
      </c>
      <c r="N10" s="31"/>
      <c r="O10" s="31"/>
      <c r="P10" s="31"/>
      <c r="Q10" s="31"/>
      <c r="R10" s="31"/>
      <c r="T10" s="62"/>
      <c r="U10" s="72"/>
      <c r="V10" s="63" t="s">
        <v>235</v>
      </c>
      <c r="W10" s="64">
        <f>AVERAGE(W8:W9)</f>
        <v>1500</v>
      </c>
      <c r="X10" s="62"/>
      <c r="Y10" s="62"/>
      <c r="Z10" s="62"/>
      <c r="AA10" s="62"/>
      <c r="AB10" s="62"/>
      <c r="AC10" s="62"/>
      <c r="AD10" s="62"/>
      <c r="AE10" s="62"/>
      <c r="AF10" s="62"/>
      <c r="AG10" s="62"/>
      <c r="AH10" s="62"/>
      <c r="AI10" s="62"/>
      <c r="AJ10">
        <f t="shared" si="10"/>
        <v>21</v>
      </c>
      <c r="AK10" s="6">
        <f t="shared" si="3"/>
        <v>0.94318218126405728</v>
      </c>
      <c r="AL10" s="6">
        <f t="shared" si="4"/>
        <v>0.88871602353682044</v>
      </c>
      <c r="AM10" s="6">
        <f t="shared" si="5"/>
        <v>0.8382234324229999</v>
      </c>
      <c r="AN10" s="6">
        <f t="shared" si="6"/>
        <v>0.94318218126405728</v>
      </c>
      <c r="AO10" s="6">
        <f t="shared" si="7"/>
        <v>0.94318218126405728</v>
      </c>
      <c r="AP10" s="6">
        <f t="shared" si="8"/>
        <v>0.94318218126405728</v>
      </c>
    </row>
    <row r="11" spans="2:42" x14ac:dyDescent="0.25">
      <c r="B11" s="6">
        <f t="shared" si="1"/>
        <v>1774</v>
      </c>
      <c r="C11" s="10">
        <v>1</v>
      </c>
      <c r="D11" s="5">
        <v>41977</v>
      </c>
      <c r="E11" s="6" t="s">
        <v>406</v>
      </c>
      <c r="F11" s="6">
        <v>120</v>
      </c>
      <c r="G11" s="31"/>
      <c r="H11" s="31"/>
      <c r="I11" s="31"/>
      <c r="J11" s="31"/>
      <c r="K11" s="31"/>
      <c r="L11" s="6">
        <f t="shared" si="2"/>
        <v>-281.66666666666669</v>
      </c>
      <c r="M11" s="33">
        <f t="shared" si="0"/>
        <v>93.8888888888889</v>
      </c>
      <c r="N11" s="31"/>
      <c r="O11" s="31"/>
      <c r="P11" s="31"/>
      <c r="Q11" s="31"/>
      <c r="R11" s="31"/>
      <c r="T11" s="6">
        <f>DAYS360("31-12-2009",U11)</f>
        <v>1828</v>
      </c>
      <c r="U11" s="5">
        <v>42032</v>
      </c>
      <c r="V11" s="6" t="s">
        <v>402</v>
      </c>
      <c r="W11" s="30">
        <v>15</v>
      </c>
      <c r="X11" s="31"/>
      <c r="Y11" s="31"/>
      <c r="Z11" s="31"/>
      <c r="AA11" s="31"/>
      <c r="AB11" s="31"/>
      <c r="AC11" s="31"/>
      <c r="AD11" s="31"/>
      <c r="AE11" s="31"/>
      <c r="AF11" s="31"/>
      <c r="AG11" s="31"/>
      <c r="AH11" s="31"/>
      <c r="AI11" s="31"/>
      <c r="AJ11">
        <f t="shared" si="10"/>
        <v>26</v>
      </c>
      <c r="AK11" s="6">
        <f t="shared" si="3"/>
        <v>0.93013699397969707</v>
      </c>
      <c r="AL11" s="6">
        <f t="shared" si="4"/>
        <v>0.86409944732565891</v>
      </c>
      <c r="AM11" s="6">
        <f t="shared" si="5"/>
        <v>0.80373361047673531</v>
      </c>
      <c r="AN11" s="6">
        <f t="shared" si="6"/>
        <v>0.93013699397969707</v>
      </c>
      <c r="AO11" s="6">
        <f t="shared" si="7"/>
        <v>0.93013699397969707</v>
      </c>
      <c r="AP11" s="6">
        <f t="shared" si="8"/>
        <v>0.93013699397969707</v>
      </c>
    </row>
    <row r="12" spans="2:42" x14ac:dyDescent="0.25">
      <c r="B12" s="6">
        <f t="shared" si="1"/>
        <v>1828</v>
      </c>
      <c r="C12" s="10">
        <v>1</v>
      </c>
      <c r="D12" s="5">
        <v>42032</v>
      </c>
      <c r="E12" s="6" t="s">
        <v>406</v>
      </c>
      <c r="F12" s="30">
        <v>15</v>
      </c>
      <c r="G12" s="31"/>
      <c r="H12" s="31"/>
      <c r="I12" s="31"/>
      <c r="J12" s="31"/>
      <c r="K12" s="31"/>
      <c r="L12" s="6">
        <f t="shared" si="2"/>
        <v>-386.66666666666669</v>
      </c>
      <c r="M12" s="33">
        <f t="shared" si="0"/>
        <v>128.88888888888889</v>
      </c>
      <c r="N12" s="31"/>
      <c r="O12" s="31"/>
      <c r="P12" s="31"/>
      <c r="Q12" s="31"/>
      <c r="R12" s="31"/>
      <c r="T12" s="6">
        <f>DAYS360("31-12-2009",U12)</f>
        <v>1959</v>
      </c>
      <c r="U12" s="5">
        <v>42164</v>
      </c>
      <c r="V12" s="6" t="s">
        <v>402</v>
      </c>
      <c r="W12" s="30">
        <v>150</v>
      </c>
      <c r="X12" s="31"/>
      <c r="Y12" s="31"/>
      <c r="Z12" s="31"/>
      <c r="AA12" s="31"/>
      <c r="AB12" s="31"/>
      <c r="AC12" s="31"/>
      <c r="AD12" s="31"/>
      <c r="AE12" s="31"/>
      <c r="AF12" s="31"/>
      <c r="AG12" s="31"/>
      <c r="AH12" s="31"/>
      <c r="AI12" s="31"/>
      <c r="AJ12">
        <f t="shared" si="10"/>
        <v>31</v>
      </c>
      <c r="AK12" s="6">
        <f t="shared" si="3"/>
        <v>0.9172722351583259</v>
      </c>
      <c r="AL12" s="6">
        <f t="shared" si="4"/>
        <v>0.84016472651972374</v>
      </c>
      <c r="AM12" s="6">
        <f t="shared" si="5"/>
        <v>0.77066291828975986</v>
      </c>
      <c r="AN12" s="6">
        <f t="shared" si="6"/>
        <v>0.9172722351583259</v>
      </c>
      <c r="AO12" s="6">
        <f t="shared" si="7"/>
        <v>0.9172722351583259</v>
      </c>
      <c r="AP12" s="6">
        <f t="shared" si="8"/>
        <v>0.9172722351583259</v>
      </c>
    </row>
    <row r="13" spans="2:42" x14ac:dyDescent="0.25">
      <c r="B13" s="6">
        <f t="shared" si="1"/>
        <v>1959</v>
      </c>
      <c r="C13" s="10">
        <v>1</v>
      </c>
      <c r="D13" s="5">
        <v>42164</v>
      </c>
      <c r="E13" s="6" t="s">
        <v>406</v>
      </c>
      <c r="F13" s="30">
        <v>150</v>
      </c>
      <c r="G13" s="31"/>
      <c r="H13" s="31"/>
      <c r="I13" s="31"/>
      <c r="J13" s="31"/>
      <c r="K13" s="31"/>
      <c r="L13" s="6">
        <f t="shared" si="2"/>
        <v>-251.66666666666669</v>
      </c>
      <c r="M13" s="33">
        <f t="shared" si="0"/>
        <v>83.8888888888889</v>
      </c>
      <c r="N13" s="31"/>
      <c r="O13" s="31"/>
      <c r="P13" s="31"/>
      <c r="Q13" s="31"/>
      <c r="R13" s="31"/>
      <c r="T13" s="6">
        <f>DAYS360("31-12-2009",U13)</f>
        <v>2040</v>
      </c>
      <c r="U13" s="5">
        <v>42247</v>
      </c>
      <c r="V13" s="6" t="s">
        <v>402</v>
      </c>
      <c r="W13" s="30">
        <v>120</v>
      </c>
      <c r="X13" s="6">
        <f>COUNT(W11:W13)</f>
        <v>3</v>
      </c>
      <c r="Y13" s="6">
        <f>SUM(W11:W13)</f>
        <v>285</v>
      </c>
      <c r="Z13" s="6">
        <f>($F$18-Y13)/X13</f>
        <v>172705</v>
      </c>
      <c r="AA13" s="6">
        <f>INT(Z13/60/24)</f>
        <v>119</v>
      </c>
      <c r="AB13" s="6">
        <f>Y13/X13</f>
        <v>95</v>
      </c>
      <c r="AC13" s="6">
        <f>Y13-W14</f>
        <v>190</v>
      </c>
      <c r="AD13" s="33">
        <f>SQRT((AC13*AC13)/COUNT(W11:W13))</f>
        <v>109.6965511460289</v>
      </c>
      <c r="AE13" s="6">
        <f>1/AA13</f>
        <v>8.4033613445378148E-3</v>
      </c>
      <c r="AF13" s="6">
        <f>AE13*EXP(-AE13*(365*1))</f>
        <v>3.9117701217351283E-4</v>
      </c>
      <c r="AG13" s="6">
        <f>1-EXP(-AE13*(365*1))</f>
        <v>0.95344993555135193</v>
      </c>
      <c r="AH13" s="6">
        <f>EXP(-AE13*(365*1))</f>
        <v>4.6550064448648031E-2</v>
      </c>
      <c r="AI13" s="6">
        <f>$F$18/(Y13+$F$18)*100</f>
        <v>99.945053356083164</v>
      </c>
      <c r="AJ13">
        <f t="shared" si="10"/>
        <v>36</v>
      </c>
      <c r="AK13" s="6">
        <f t="shared" si="3"/>
        <v>0.9045854092872655</v>
      </c>
      <c r="AL13" s="6">
        <f t="shared" si="4"/>
        <v>0.81689297438230357</v>
      </c>
      <c r="AM13" s="6">
        <f t="shared" si="5"/>
        <v>0.73895296387394338</v>
      </c>
      <c r="AN13" s="6">
        <f t="shared" si="6"/>
        <v>0.9045854092872655</v>
      </c>
      <c r="AO13" s="6">
        <f t="shared" si="7"/>
        <v>0.9045854092872655</v>
      </c>
      <c r="AP13" s="6">
        <f t="shared" si="8"/>
        <v>0.9045854092872655</v>
      </c>
    </row>
    <row r="14" spans="2:42" x14ac:dyDescent="0.25">
      <c r="B14" s="6">
        <f t="shared" si="1"/>
        <v>2040</v>
      </c>
      <c r="C14" s="10">
        <v>1</v>
      </c>
      <c r="D14" s="5">
        <v>42247</v>
      </c>
      <c r="E14" s="6" t="s">
        <v>406</v>
      </c>
      <c r="F14" s="30">
        <v>120</v>
      </c>
      <c r="G14" s="6">
        <f>COUNT(F6:F14)</f>
        <v>9</v>
      </c>
      <c r="H14" s="6">
        <f>SUM(F6:F14)</f>
        <v>3615</v>
      </c>
      <c r="I14" s="6">
        <f>(2592000-H14)/G14</f>
        <v>287598.33333333331</v>
      </c>
      <c r="J14" s="6">
        <f>INT(I14/60/24)</f>
        <v>199</v>
      </c>
      <c r="K14" s="6">
        <f>H14/G14</f>
        <v>401.66666666666669</v>
      </c>
      <c r="L14" s="6">
        <f t="shared" si="2"/>
        <v>-281.66666666666669</v>
      </c>
      <c r="M14" s="33">
        <f>SQRT((L14*L14)/COUNT($B$6:$B$14))</f>
        <v>93.8888888888889</v>
      </c>
      <c r="N14" s="6">
        <f>G14/(365*5)</f>
        <v>4.9315068493150684E-3</v>
      </c>
      <c r="O14" s="6">
        <f>N14*EXP(-N14*(365*5))</f>
        <v>6.0859629412609101E-7</v>
      </c>
      <c r="P14" s="6">
        <f>1-EXP(-N14*(365*5))</f>
        <v>0.99987659019591335</v>
      </c>
      <c r="Q14" s="6">
        <f>EXP(-N14*(365*5))</f>
        <v>1.2340980408667956E-4</v>
      </c>
      <c r="R14" s="6">
        <f>F17/(F16+F17)*100</f>
        <v>99.860726648597733</v>
      </c>
      <c r="T14" s="31"/>
      <c r="U14" s="71"/>
      <c r="V14" s="43" t="s">
        <v>235</v>
      </c>
      <c r="W14" s="6">
        <f>AVERAGE(W11:W13)</f>
        <v>95</v>
      </c>
      <c r="X14" s="31"/>
      <c r="Y14" s="31"/>
      <c r="Z14" s="31"/>
      <c r="AA14" s="31"/>
      <c r="AB14" s="31"/>
      <c r="AC14" s="31"/>
      <c r="AD14" s="31"/>
      <c r="AE14" s="31"/>
      <c r="AF14" s="31"/>
      <c r="AG14" s="31"/>
      <c r="AH14" s="31"/>
      <c r="AI14" s="31"/>
      <c r="AJ14">
        <f t="shared" si="10"/>
        <v>41</v>
      </c>
      <c r="AK14" s="6">
        <f t="shared" si="3"/>
        <v>0.89207405536936502</v>
      </c>
      <c r="AL14" s="6">
        <f t="shared" si="4"/>
        <v>0.79426582732106754</v>
      </c>
      <c r="AM14" s="6">
        <f t="shared" si="5"/>
        <v>0.70854775785744606</v>
      </c>
      <c r="AN14" s="6">
        <f t="shared" si="6"/>
        <v>0.89207405536936502</v>
      </c>
      <c r="AO14" s="6">
        <f t="shared" si="7"/>
        <v>0.89207405536936502</v>
      </c>
      <c r="AP14" s="6">
        <f t="shared" si="8"/>
        <v>0.89207405536936502</v>
      </c>
    </row>
    <row r="15" spans="2:42" x14ac:dyDescent="0.25">
      <c r="E15" s="43" t="s">
        <v>235</v>
      </c>
      <c r="F15" s="6">
        <f>AVERAGE(F6:F14)</f>
        <v>401.66666666666669</v>
      </c>
      <c r="T15" s="6">
        <f>DAYS360($B$5,U15)</f>
        <v>39725</v>
      </c>
      <c r="U15" s="5">
        <v>40303</v>
      </c>
      <c r="V15" s="6" t="s">
        <v>417</v>
      </c>
      <c r="W15" s="34">
        <v>30</v>
      </c>
      <c r="X15" s="6">
        <f>COUNT(W15)</f>
        <v>1</v>
      </c>
      <c r="Y15" s="6">
        <f>SUM(W15)</f>
        <v>30</v>
      </c>
      <c r="Z15" s="6">
        <f>($F$18-Y15)/X15</f>
        <v>518370</v>
      </c>
      <c r="AA15" s="6">
        <f>INT(Z15/60/24)</f>
        <v>359</v>
      </c>
      <c r="AB15" s="6">
        <f>Y15/X15</f>
        <v>30</v>
      </c>
      <c r="AC15" s="6">
        <f>Y15-W16</f>
        <v>0</v>
      </c>
      <c r="AD15" s="33">
        <f>SQRT((AC15*AC15)/COUNT(W15))</f>
        <v>0</v>
      </c>
      <c r="AE15" s="6">
        <f>1/AA15</f>
        <v>2.7855153203342618E-3</v>
      </c>
      <c r="AF15" s="6">
        <f>AE15*EXP(-AE15*(365*1))</f>
        <v>1.007749673042332E-3</v>
      </c>
      <c r="AG15" s="6">
        <f>1-EXP(-AE15*(365*1))</f>
        <v>0.63821786737780273</v>
      </c>
      <c r="AH15" s="6">
        <f>EXP(-AE15*(365*1))</f>
        <v>0.36178213262219722</v>
      </c>
      <c r="AI15" s="6">
        <f>$F$18/(Y15+$F$18)*100</f>
        <v>99.994213297841554</v>
      </c>
      <c r="AJ15">
        <f t="shared" si="10"/>
        <v>46</v>
      </c>
      <c r="AK15" s="6">
        <f t="shared" si="3"/>
        <v>0.87973574644561525</v>
      </c>
      <c r="AL15" s="6">
        <f t="shared" si="4"/>
        <v>0.77226543039747109</v>
      </c>
      <c r="AM15" s="6">
        <f t="shared" si="5"/>
        <v>0.67939361462586423</v>
      </c>
      <c r="AN15" s="6">
        <f t="shared" si="6"/>
        <v>0.87973574644561525</v>
      </c>
      <c r="AO15" s="6">
        <f t="shared" si="7"/>
        <v>0.87973574644561525</v>
      </c>
      <c r="AP15" s="6">
        <f t="shared" si="8"/>
        <v>0.87973574644561525</v>
      </c>
    </row>
    <row r="16" spans="2:42" x14ac:dyDescent="0.25">
      <c r="E16" s="43" t="s">
        <v>261</v>
      </c>
      <c r="F16" s="6">
        <f>(SUM(F6:F14))</f>
        <v>3615</v>
      </c>
      <c r="G16" t="s">
        <v>237</v>
      </c>
      <c r="T16" s="62"/>
      <c r="U16" s="72"/>
      <c r="V16" s="63" t="s">
        <v>235</v>
      </c>
      <c r="W16" s="64">
        <f>AVERAGE(W15)</f>
        <v>30</v>
      </c>
      <c r="X16" s="62"/>
      <c r="Y16" s="62"/>
      <c r="Z16" s="62"/>
      <c r="AA16" s="62"/>
      <c r="AB16" s="62"/>
      <c r="AC16" s="62"/>
      <c r="AD16" s="62"/>
      <c r="AE16" s="62"/>
      <c r="AF16" s="62"/>
      <c r="AG16" s="62"/>
      <c r="AH16" s="62"/>
      <c r="AI16" s="62"/>
      <c r="AJ16">
        <f t="shared" si="10"/>
        <v>51</v>
      </c>
      <c r="AK16" s="6">
        <f t="shared" si="3"/>
        <v>0.867568089124366</v>
      </c>
      <c r="AL16" s="6">
        <f t="shared" si="4"/>
        <v>0.75087442323753628</v>
      </c>
      <c r="AM16" s="6">
        <f t="shared" si="5"/>
        <v>0.65143905753105558</v>
      </c>
      <c r="AN16" s="6">
        <f t="shared" si="6"/>
        <v>0.867568089124366</v>
      </c>
      <c r="AO16" s="6">
        <f t="shared" si="7"/>
        <v>0.867568089124366</v>
      </c>
      <c r="AP16" s="6">
        <f t="shared" si="8"/>
        <v>0.867568089124366</v>
      </c>
    </row>
    <row r="17" spans="2:42" x14ac:dyDescent="0.25">
      <c r="E17" s="43" t="s">
        <v>262</v>
      </c>
      <c r="F17" s="6">
        <f>60*24*30*12*5</f>
        <v>2592000</v>
      </c>
      <c r="G17" t="s">
        <v>237</v>
      </c>
      <c r="T17" s="6">
        <f>DAYS360($B$5,U17)</f>
        <v>40097</v>
      </c>
      <c r="U17" s="5">
        <v>40680</v>
      </c>
      <c r="V17" s="6" t="s">
        <v>417</v>
      </c>
      <c r="W17" s="33">
        <v>120</v>
      </c>
      <c r="X17" s="6">
        <f>COUNT(W17)</f>
        <v>1</v>
      </c>
      <c r="Y17" s="6">
        <f>SUM(W17)</f>
        <v>120</v>
      </c>
      <c r="Z17" s="6">
        <f>($F$18-Y17)/X17</f>
        <v>518280</v>
      </c>
      <c r="AA17" s="6">
        <f>INT(Z17/60/24)</f>
        <v>359</v>
      </c>
      <c r="AB17" s="6">
        <f>Y17/X17</f>
        <v>120</v>
      </c>
      <c r="AC17" s="6">
        <f>Y17-W18</f>
        <v>0</v>
      </c>
      <c r="AD17" s="33">
        <f>SQRT((AC17*AC17)/COUNT(W17))</f>
        <v>0</v>
      </c>
      <c r="AE17" s="6">
        <f>1/AA17</f>
        <v>2.7855153203342618E-3</v>
      </c>
      <c r="AF17" s="6">
        <f>AE17*EXP(-AE17*(365*1))</f>
        <v>1.007749673042332E-3</v>
      </c>
      <c r="AG17" s="6">
        <f>1-EXP(-AE17*(365*1))</f>
        <v>0.63821786737780273</v>
      </c>
      <c r="AH17" s="6">
        <f>EXP(-AE17*(365*1))</f>
        <v>0.36178213262219722</v>
      </c>
      <c r="AI17" s="6">
        <f>$F$18/(Y17+$F$18)*100</f>
        <v>99.976857208979411</v>
      </c>
      <c r="AJ17">
        <f t="shared" si="10"/>
        <v>56</v>
      </c>
      <c r="AK17" s="6">
        <f t="shared" si="3"/>
        <v>0.85556872311705456</v>
      </c>
      <c r="AL17" s="6">
        <f t="shared" si="4"/>
        <v>0.73007592633289142</v>
      </c>
      <c r="AM17" s="6">
        <f t="shared" si="5"/>
        <v>0.62463472800027442</v>
      </c>
      <c r="AN17" s="6">
        <f t="shared" si="6"/>
        <v>0.85556872311705456</v>
      </c>
      <c r="AO17" s="6">
        <f t="shared" si="7"/>
        <v>0.85556872311705456</v>
      </c>
      <c r="AP17" s="6">
        <f t="shared" si="8"/>
        <v>0.85556872311705456</v>
      </c>
    </row>
    <row r="18" spans="2:42" x14ac:dyDescent="0.25">
      <c r="E18" s="43" t="s">
        <v>268</v>
      </c>
      <c r="F18" s="6">
        <v>518400</v>
      </c>
      <c r="G18" t="s">
        <v>237</v>
      </c>
      <c r="T18" s="62"/>
      <c r="U18" s="72"/>
      <c r="V18" s="63" t="s">
        <v>235</v>
      </c>
      <c r="W18" s="64">
        <f>AVERAGE(W17)</f>
        <v>120</v>
      </c>
      <c r="X18" s="62"/>
      <c r="Y18" s="62"/>
      <c r="Z18" s="62"/>
      <c r="AA18" s="62"/>
      <c r="AB18" s="62"/>
      <c r="AC18" s="62"/>
      <c r="AD18" s="62"/>
      <c r="AE18" s="62"/>
      <c r="AF18" s="62"/>
      <c r="AG18" s="62"/>
      <c r="AH18" s="62"/>
      <c r="AI18" s="62"/>
      <c r="AJ18">
        <f t="shared" si="10"/>
        <v>61</v>
      </c>
      <c r="AK18" s="6">
        <f t="shared" si="3"/>
        <v>0.84373532078035562</v>
      </c>
      <c r="AL18" s="6">
        <f t="shared" si="4"/>
        <v>0.70985352772125732</v>
      </c>
      <c r="AM18" s="6">
        <f t="shared" si="5"/>
        <v>0.59893329838513198</v>
      </c>
      <c r="AN18" s="6">
        <f t="shared" si="6"/>
        <v>0.84373532078035562</v>
      </c>
      <c r="AO18" s="6">
        <f t="shared" si="7"/>
        <v>0.84373532078035562</v>
      </c>
      <c r="AP18" s="6">
        <f t="shared" si="8"/>
        <v>0.84373532078035562</v>
      </c>
    </row>
    <row r="19" spans="2:42" x14ac:dyDescent="0.25">
      <c r="T19" s="6">
        <f>DAYS360($B$5,U19)</f>
        <v>40401</v>
      </c>
      <c r="U19" s="5">
        <v>40989</v>
      </c>
      <c r="V19" s="6" t="s">
        <v>417</v>
      </c>
      <c r="W19" s="33">
        <v>60</v>
      </c>
      <c r="X19" s="6">
        <f>COUNT(W19)</f>
        <v>1</v>
      </c>
      <c r="Y19" s="6">
        <f>SUM(W19)</f>
        <v>60</v>
      </c>
      <c r="Z19" s="6">
        <f>($F$18-Y19)/X19</f>
        <v>518340</v>
      </c>
      <c r="AA19" s="6">
        <f>INT(Z19/60/24)</f>
        <v>359</v>
      </c>
      <c r="AB19" s="6">
        <f>Y19/X19</f>
        <v>60</v>
      </c>
      <c r="AC19" s="6">
        <f>Y19-W20</f>
        <v>0</v>
      </c>
      <c r="AD19" s="33">
        <f>SQRT((AC19*AC19)/COUNT(W19))</f>
        <v>0</v>
      </c>
      <c r="AE19" s="6">
        <f>1/AA19</f>
        <v>2.7855153203342618E-3</v>
      </c>
      <c r="AF19" s="6">
        <f>AE19*EXP(-AE19*(365*1))</f>
        <v>1.007749673042332E-3</v>
      </c>
      <c r="AG19" s="6">
        <f>1-EXP(-AE19*(365*1))</f>
        <v>0.63821786737780273</v>
      </c>
      <c r="AH19" s="6">
        <f>EXP(-AE19*(365*1))</f>
        <v>0.36178213262219722</v>
      </c>
      <c r="AI19" s="6">
        <f>$F$18/(Y19+$F$18)*100</f>
        <v>99.988427265362802</v>
      </c>
      <c r="AJ19">
        <f t="shared" si="10"/>
        <v>66</v>
      </c>
      <c r="AK19" s="6">
        <f t="shared" si="3"/>
        <v>0.83206558666466413</v>
      </c>
      <c r="AL19" s="6">
        <f t="shared" si="4"/>
        <v>0.69019127003587155</v>
      </c>
      <c r="AM19" s="6">
        <f t="shared" si="5"/>
        <v>0.57428938839650279</v>
      </c>
      <c r="AN19" s="6">
        <f t="shared" si="6"/>
        <v>0.83206558666466413</v>
      </c>
      <c r="AO19" s="6">
        <f t="shared" si="7"/>
        <v>0.83206558666466413</v>
      </c>
      <c r="AP19" s="6">
        <f t="shared" si="8"/>
        <v>0.83206558666466413</v>
      </c>
    </row>
    <row r="20" spans="2:42" x14ac:dyDescent="0.25">
      <c r="B20" s="32" t="s">
        <v>193</v>
      </c>
      <c r="E20" s="61"/>
      <c r="F20" s="11"/>
      <c r="T20" s="31"/>
      <c r="U20" s="71"/>
      <c r="V20" s="43" t="s">
        <v>235</v>
      </c>
      <c r="W20" s="6">
        <f>AVERAGE(W19)</f>
        <v>60</v>
      </c>
      <c r="X20" s="31"/>
      <c r="Y20" s="31"/>
      <c r="Z20" s="31"/>
      <c r="AA20" s="31"/>
      <c r="AB20" s="31"/>
      <c r="AC20" s="31"/>
      <c r="AD20" s="31"/>
      <c r="AE20" s="31"/>
      <c r="AF20" s="31"/>
      <c r="AG20" s="31"/>
      <c r="AH20" s="31"/>
      <c r="AI20" s="31"/>
      <c r="AJ20">
        <f t="shared" si="10"/>
        <v>71</v>
      </c>
      <c r="AK20" s="6">
        <f t="shared" si="3"/>
        <v>0.82055725706882254</v>
      </c>
      <c r="AL20" s="6">
        <f t="shared" si="4"/>
        <v>0.67107363791363217</v>
      </c>
      <c r="AM20" s="6">
        <f t="shared" si="5"/>
        <v>0.55065948497782913</v>
      </c>
      <c r="AN20" s="6">
        <f t="shared" si="6"/>
        <v>0.82055725706882254</v>
      </c>
      <c r="AO20" s="6">
        <f t="shared" si="7"/>
        <v>0.82055725706882254</v>
      </c>
      <c r="AP20" s="6">
        <f t="shared" si="8"/>
        <v>0.82055725706882254</v>
      </c>
    </row>
    <row r="21" spans="2:42" x14ac:dyDescent="0.25">
      <c r="B21" t="s">
        <v>256</v>
      </c>
      <c r="AJ21">
        <f t="shared" si="10"/>
        <v>76</v>
      </c>
      <c r="AK21" s="6">
        <f t="shared" si="3"/>
        <v>0.80920809960100692</v>
      </c>
      <c r="AL21" s="6">
        <f t="shared" si="4"/>
        <v>0.65248554575202167</v>
      </c>
      <c r="AM21" s="6">
        <f t="shared" si="5"/>
        <v>0.52800186547534433</v>
      </c>
      <c r="AN21" s="6">
        <f t="shared" si="6"/>
        <v>0.80920809960100692</v>
      </c>
      <c r="AO21" s="6">
        <f t="shared" si="7"/>
        <v>0.80920809960100692</v>
      </c>
      <c r="AP21" s="6">
        <f t="shared" si="8"/>
        <v>0.80920809960100692</v>
      </c>
    </row>
    <row r="22" spans="2:42" x14ac:dyDescent="0.25">
      <c r="B22" t="s">
        <v>258</v>
      </c>
      <c r="AJ22">
        <f t="shared" si="10"/>
        <v>81</v>
      </c>
      <c r="AK22" s="6">
        <f t="shared" si="3"/>
        <v>0.79801591274568617</v>
      </c>
      <c r="AL22" s="6">
        <f t="shared" si="4"/>
        <v>0.63441232580515461</v>
      </c>
      <c r="AM22" s="6">
        <f t="shared" si="5"/>
        <v>0.50627652396956024</v>
      </c>
      <c r="AN22" s="6">
        <f t="shared" si="6"/>
        <v>0.79801591274568617</v>
      </c>
      <c r="AO22" s="6">
        <f t="shared" si="7"/>
        <v>0.79801591274568617</v>
      </c>
      <c r="AP22" s="6">
        <f t="shared" si="8"/>
        <v>0.79801591274568617</v>
      </c>
    </row>
    <row r="23" spans="2:42" x14ac:dyDescent="0.25">
      <c r="B23" t="s">
        <v>259</v>
      </c>
      <c r="AJ23">
        <f t="shared" si="10"/>
        <v>86</v>
      </c>
      <c r="AK23" s="6">
        <f t="shared" si="3"/>
        <v>0.78697852543657143</v>
      </c>
      <c r="AL23" s="6">
        <f t="shared" si="4"/>
        <v>0.61683971660955161</v>
      </c>
      <c r="AM23" s="6">
        <f t="shared" si="5"/>
        <v>0.48544510063794399</v>
      </c>
      <c r="AN23" s="6">
        <f t="shared" si="6"/>
        <v>0.78697852543657143</v>
      </c>
      <c r="AO23" s="6">
        <f t="shared" si="7"/>
        <v>0.78697852543657143</v>
      </c>
      <c r="AP23" s="6">
        <f t="shared" si="8"/>
        <v>0.78697852543657143</v>
      </c>
    </row>
    <row r="24" spans="2:42" x14ac:dyDescent="0.25">
      <c r="AJ24">
        <f t="shared" si="10"/>
        <v>91</v>
      </c>
      <c r="AK24" s="6">
        <f t="shared" si="3"/>
        <v>0.77609379663547085</v>
      </c>
      <c r="AL24" s="6">
        <f t="shared" si="4"/>
        <v>0.59975385173050877</v>
      </c>
      <c r="AM24" s="6">
        <f t="shared" si="5"/>
        <v>0.46547081402406171</v>
      </c>
      <c r="AN24" s="6">
        <f t="shared" si="6"/>
        <v>0.77609379663547085</v>
      </c>
      <c r="AO24" s="6">
        <f t="shared" si="7"/>
        <v>0.77609379663547085</v>
      </c>
      <c r="AP24" s="6">
        <f t="shared" si="8"/>
        <v>0.77609379663547085</v>
      </c>
    </row>
    <row r="25" spans="2:42" x14ac:dyDescent="0.25">
      <c r="B25" s="37" t="s">
        <v>209</v>
      </c>
      <c r="AJ25">
        <f t="shared" si="10"/>
        <v>96</v>
      </c>
      <c r="AK25" s="6">
        <f t="shared" si="3"/>
        <v>0.76535961491697058</v>
      </c>
      <c r="AL25" s="6">
        <f t="shared" si="4"/>
        <v>0.58314124882018203</v>
      </c>
      <c r="AM25" s="6">
        <f t="shared" si="5"/>
        <v>0.44631839609359841</v>
      </c>
      <c r="AN25" s="6">
        <f t="shared" si="6"/>
        <v>0.76535961491697058</v>
      </c>
      <c r="AO25" s="6">
        <f t="shared" si="7"/>
        <v>0.76535961491697058</v>
      </c>
      <c r="AP25" s="6">
        <f t="shared" si="8"/>
        <v>0.76535961491697058</v>
      </c>
    </row>
    <row r="26" spans="2:42" x14ac:dyDescent="0.25">
      <c r="B26" s="37" t="s">
        <v>210</v>
      </c>
      <c r="AJ26">
        <f t="shared" si="10"/>
        <v>101</v>
      </c>
      <c r="AK26" s="6">
        <f t="shared" si="3"/>
        <v>0.75477389805885875</v>
      </c>
      <c r="AL26" s="6">
        <f t="shared" si="4"/>
        <v>0.56698879897875165</v>
      </c>
      <c r="AM26" s="6">
        <f t="shared" si="5"/>
        <v>0.42795402996258514</v>
      </c>
      <c r="AN26" s="6">
        <f t="shared" si="6"/>
        <v>0.75477389805885875</v>
      </c>
      <c r="AO26" s="6">
        <f t="shared" si="7"/>
        <v>0.75477389805885875</v>
      </c>
      <c r="AP26" s="6">
        <f t="shared" si="8"/>
        <v>0.75477389805885875</v>
      </c>
    </row>
    <row r="27" spans="2:42" x14ac:dyDescent="0.25">
      <c r="B27" s="40" t="s">
        <v>222</v>
      </c>
      <c r="AJ27">
        <f t="shared" si="10"/>
        <v>106</v>
      </c>
      <c r="AK27" s="6">
        <f t="shared" si="3"/>
        <v>0.74433459263821511</v>
      </c>
      <c r="AL27" s="6">
        <f t="shared" si="4"/>
        <v>0.55128375641027227</v>
      </c>
      <c r="AM27" s="6">
        <f t="shared" si="5"/>
        <v>0.41034529018788096</v>
      </c>
      <c r="AN27" s="6">
        <f t="shared" si="6"/>
        <v>0.74433459263821511</v>
      </c>
      <c r="AO27" s="6">
        <f t="shared" si="7"/>
        <v>0.74433459263821511</v>
      </c>
      <c r="AP27" s="6">
        <f t="shared" si="8"/>
        <v>0.74433459263821511</v>
      </c>
    </row>
    <row r="28" spans="2:42" x14ac:dyDescent="0.25">
      <c r="B28" s="40" t="s">
        <v>232</v>
      </c>
      <c r="AJ28">
        <f t="shared" si="10"/>
        <v>111</v>
      </c>
      <c r="AK28" s="6">
        <f t="shared" si="3"/>
        <v>0.73403967363308709</v>
      </c>
      <c r="AL28" s="6">
        <f t="shared" si="4"/>
        <v>0.53601372836504635</v>
      </c>
      <c r="AM28" s="6">
        <f t="shared" si="5"/>
        <v>0.39346108551448272</v>
      </c>
      <c r="AN28" s="6">
        <f t="shared" si="6"/>
        <v>0.73403967363308709</v>
      </c>
      <c r="AO28" s="6">
        <f t="shared" si="7"/>
        <v>0.73403967363308709</v>
      </c>
      <c r="AP28" s="6">
        <f t="shared" si="8"/>
        <v>0.73403967363308709</v>
      </c>
    </row>
    <row r="29" spans="2:42" x14ac:dyDescent="0.25">
      <c r="B29" s="40"/>
      <c r="AJ29">
        <f t="shared" si="10"/>
        <v>116</v>
      </c>
      <c r="AK29" s="6">
        <f t="shared" si="3"/>
        <v>0.7238871440296748</v>
      </c>
      <c r="AL29" s="6">
        <f t="shared" si="4"/>
        <v>0.52116666536058331</v>
      </c>
      <c r="AM29" s="6">
        <f t="shared" si="5"/>
        <v>0.37727160397857362</v>
      </c>
      <c r="AN29" s="6">
        <f t="shared" si="6"/>
        <v>0.7238871440296748</v>
      </c>
      <c r="AO29" s="6">
        <f t="shared" si="7"/>
        <v>0.7238871440296748</v>
      </c>
      <c r="AP29" s="6">
        <f t="shared" si="8"/>
        <v>0.7238871440296748</v>
      </c>
    </row>
    <row r="30" spans="2:42" x14ac:dyDescent="0.25">
      <c r="B30" t="s">
        <v>234</v>
      </c>
      <c r="AJ30">
        <f t="shared" si="10"/>
        <v>121</v>
      </c>
      <c r="AK30" s="6">
        <f t="shared" si="3"/>
        <v>0.7138750344349496</v>
      </c>
      <c r="AL30" s="6">
        <f t="shared" si="4"/>
        <v>0.50673085167342946</v>
      </c>
      <c r="AM30" s="6">
        <f t="shared" si="5"/>
        <v>0.36174826026937951</v>
      </c>
      <c r="AN30" s="6">
        <f t="shared" si="6"/>
        <v>0.7138750344349496</v>
      </c>
      <c r="AO30" s="6">
        <f t="shared" si="7"/>
        <v>0.7138750344349496</v>
      </c>
      <c r="AP30" s="6">
        <f t="shared" si="8"/>
        <v>0.7138750344349496</v>
      </c>
    </row>
    <row r="31" spans="2:42" x14ac:dyDescent="0.25">
      <c r="AJ31">
        <f t="shared" si="10"/>
        <v>126</v>
      </c>
      <c r="AK31" s="6">
        <f t="shared" si="3"/>
        <v>0.70400140269462974</v>
      </c>
      <c r="AL31" s="6">
        <f t="shared" si="4"/>
        <v>0.49269489609436479</v>
      </c>
      <c r="AM31" s="6">
        <f t="shared" si="5"/>
        <v>0.34686364525689234</v>
      </c>
      <c r="AN31" s="6">
        <f t="shared" si="6"/>
        <v>0.70400140269462974</v>
      </c>
      <c r="AO31" s="6">
        <f t="shared" si="7"/>
        <v>0.70400140269462974</v>
      </c>
      <c r="AP31" s="6">
        <f t="shared" si="8"/>
        <v>0.70400140269462974</v>
      </c>
    </row>
    <row r="32" spans="2:42" x14ac:dyDescent="0.25">
      <c r="B32" t="s">
        <v>225</v>
      </c>
      <c r="AJ32">
        <f t="shared" si="10"/>
        <v>131</v>
      </c>
      <c r="AK32" s="6">
        <f t="shared" si="3"/>
        <v>0.69426433351644024</v>
      </c>
      <c r="AL32" s="6">
        <f t="shared" si="4"/>
        <v>0.47904772293967168</v>
      </c>
      <c r="AM32" s="6">
        <f t="shared" si="5"/>
        <v>0.33259147759634267</v>
      </c>
      <c r="AN32" s="6">
        <f t="shared" si="6"/>
        <v>0.69426433351644024</v>
      </c>
      <c r="AO32" s="6">
        <f t="shared" si="7"/>
        <v>0.69426433351644024</v>
      </c>
      <c r="AP32" s="6">
        <f t="shared" si="8"/>
        <v>0.69426433351644024</v>
      </c>
    </row>
    <row r="33" spans="2:42" x14ac:dyDescent="0.25">
      <c r="C33" t="s">
        <v>226</v>
      </c>
      <c r="AJ33">
        <f t="shared" si="10"/>
        <v>136</v>
      </c>
      <c r="AK33" s="6">
        <f t="shared" si="3"/>
        <v>0.68466193809858422</v>
      </c>
      <c r="AL33" s="6">
        <f t="shared" si="4"/>
        <v>0.46577856331138323</v>
      </c>
      <c r="AM33" s="6">
        <f t="shared" si="5"/>
        <v>0.31890655732397044</v>
      </c>
      <c r="AN33" s="6">
        <f t="shared" si="6"/>
        <v>0.68466193809858422</v>
      </c>
      <c r="AO33" s="6">
        <f t="shared" si="7"/>
        <v>0.68466193809858422</v>
      </c>
      <c r="AP33" s="6">
        <f t="shared" si="8"/>
        <v>0.68466193809858422</v>
      </c>
    </row>
    <row r="34" spans="2:42" x14ac:dyDescent="0.25">
      <c r="C34" t="s">
        <v>227</v>
      </c>
      <c r="AJ34">
        <f t="shared" si="10"/>
        <v>141</v>
      </c>
      <c r="AK34" s="6">
        <f t="shared" si="3"/>
        <v>0.67519235376335118</v>
      </c>
      <c r="AL34" s="6">
        <f t="shared" si="4"/>
        <v>0.45287694659961369</v>
      </c>
      <c r="AM34" s="6">
        <f t="shared" si="5"/>
        <v>0.30578472136216034</v>
      </c>
      <c r="AN34" s="6">
        <f t="shared" si="6"/>
        <v>0.67519235376335118</v>
      </c>
      <c r="AO34" s="6">
        <f t="shared" si="7"/>
        <v>0.67519235376335118</v>
      </c>
      <c r="AP34" s="6">
        <f t="shared" si="8"/>
        <v>0.67519235376335118</v>
      </c>
    </row>
    <row r="35" spans="2:42" x14ac:dyDescent="0.25">
      <c r="C35" t="s">
        <v>228</v>
      </c>
      <c r="AJ35">
        <f t="shared" si="10"/>
        <v>146</v>
      </c>
      <c r="AK35" s="6">
        <f t="shared" si="3"/>
        <v>0.66585374359579441</v>
      </c>
      <c r="AL35" s="6">
        <f t="shared" si="4"/>
        <v>0.44033269222026672</v>
      </c>
      <c r="AM35" s="6">
        <f t="shared" si="5"/>
        <v>0.29320280085537731</v>
      </c>
      <c r="AN35" s="6">
        <f t="shared" si="6"/>
        <v>0.66585374359579441</v>
      </c>
      <c r="AO35" s="6">
        <f t="shared" si="7"/>
        <v>0.66585374359579441</v>
      </c>
      <c r="AP35" s="6">
        <f t="shared" si="8"/>
        <v>0.66585374359579441</v>
      </c>
    </row>
    <row r="36" spans="2:42" x14ac:dyDescent="0.25">
      <c r="AJ36">
        <f t="shared" si="10"/>
        <v>151</v>
      </c>
      <c r="AK36" s="6">
        <f t="shared" si="3"/>
        <v>0.65664429608740515</v>
      </c>
      <c r="AL36" s="6">
        <f t="shared" si="4"/>
        <v>0.42813590158160092</v>
      </c>
      <c r="AM36" s="6">
        <f t="shared" si="5"/>
        <v>0.28113858026157157</v>
      </c>
      <c r="AN36" s="6">
        <f t="shared" si="6"/>
        <v>0.65664429608740515</v>
      </c>
      <c r="AO36" s="6">
        <f t="shared" si="7"/>
        <v>0.65664429608740515</v>
      </c>
      <c r="AP36" s="6">
        <f t="shared" si="8"/>
        <v>0.65664429608740515</v>
      </c>
    </row>
    <row r="37" spans="2:42" x14ac:dyDescent="0.25">
      <c r="B37" t="s">
        <v>229</v>
      </c>
      <c r="AJ37">
        <f t="shared" si="10"/>
        <v>156</v>
      </c>
      <c r="AK37" s="6">
        <f t="shared" si="3"/>
        <v>0.64756222478471492</v>
      </c>
      <c r="AL37" s="6">
        <f t="shared" si="4"/>
        <v>0.41627695027331363</v>
      </c>
      <c r="AM37" s="6">
        <f t="shared" si="5"/>
        <v>0.26957075812682357</v>
      </c>
      <c r="AN37" s="6">
        <f t="shared" si="6"/>
        <v>0.64756222478471492</v>
      </c>
      <c r="AO37" s="6">
        <f t="shared" si="7"/>
        <v>0.64756222478471492</v>
      </c>
      <c r="AP37" s="6">
        <f t="shared" si="8"/>
        <v>0.64756222478471492</v>
      </c>
    </row>
    <row r="38" spans="2:42" x14ac:dyDescent="0.25">
      <c r="AJ38">
        <f t="shared" si="10"/>
        <v>161</v>
      </c>
      <c r="AK38" s="6">
        <f t="shared" si="3"/>
        <v>0.63860576794275881</v>
      </c>
      <c r="AL38" s="6">
        <f t="shared" si="4"/>
        <v>0.40474648047197959</v>
      </c>
      <c r="AM38" s="6">
        <f t="shared" si="5"/>
        <v>0.25847890947396718</v>
      </c>
      <c r="AN38" s="6">
        <f t="shared" si="6"/>
        <v>0.63860576794275881</v>
      </c>
      <c r="AO38" s="6">
        <f t="shared" si="7"/>
        <v>0.63860576794275881</v>
      </c>
      <c r="AP38" s="6">
        <f t="shared" si="8"/>
        <v>0.63860576794275881</v>
      </c>
    </row>
    <row r="39" spans="2:42" x14ac:dyDescent="0.25">
      <c r="AJ39">
        <f t="shared" si="10"/>
        <v>166</v>
      </c>
      <c r="AK39" s="6">
        <f t="shared" si="3"/>
        <v>0.62977318818333095</v>
      </c>
      <c r="AL39" s="6">
        <f t="shared" si="4"/>
        <v>0.39353539355685196</v>
      </c>
      <c r="AM39" s="6">
        <f t="shared" si="5"/>
        <v>0.24784344973878408</v>
      </c>
      <c r="AN39" s="6">
        <f t="shared" si="6"/>
        <v>0.62977318818333095</v>
      </c>
      <c r="AO39" s="6">
        <f t="shared" si="7"/>
        <v>0.62977318818333095</v>
      </c>
      <c r="AP39" s="6">
        <f t="shared" si="8"/>
        <v>0.62977318818333095</v>
      </c>
    </row>
    <row r="40" spans="2:42" x14ac:dyDescent="0.25">
      <c r="AJ40">
        <f t="shared" si="10"/>
        <v>171</v>
      </c>
      <c r="AK40" s="6">
        <f t="shared" si="3"/>
        <v>0.62106277215796701</v>
      </c>
      <c r="AL40" s="6">
        <f t="shared" si="4"/>
        <v>0.38263484293019795</v>
      </c>
      <c r="AM40" s="6">
        <f t="shared" si="5"/>
        <v>0.23764560019009123</v>
      </c>
      <c r="AN40" s="6">
        <f t="shared" si="6"/>
        <v>0.62106277215796701</v>
      </c>
      <c r="AO40" s="6">
        <f t="shared" si="7"/>
        <v>0.62106277215796701</v>
      </c>
      <c r="AP40" s="6">
        <f t="shared" si="8"/>
        <v>0.62106277215796701</v>
      </c>
    </row>
    <row r="41" spans="2:42" x14ac:dyDescent="0.25">
      <c r="AJ41">
        <f t="shared" si="10"/>
        <v>176</v>
      </c>
      <c r="AK41" s="6">
        <f t="shared" si="3"/>
        <v>0.61247283021558807</v>
      </c>
      <c r="AL41" s="6">
        <f t="shared" si="4"/>
        <v>0.37203622703650485</v>
      </c>
      <c r="AM41" s="6">
        <f t="shared" si="5"/>
        <v>0.22786735477266509</v>
      </c>
      <c r="AN41" s="6">
        <f t="shared" si="6"/>
        <v>0.61247283021558807</v>
      </c>
      <c r="AO41" s="6">
        <f t="shared" si="7"/>
        <v>0.61247283021558807</v>
      </c>
      <c r="AP41" s="6">
        <f t="shared" si="8"/>
        <v>0.61247283021558807</v>
      </c>
    </row>
    <row r="42" spans="2:42" x14ac:dyDescent="0.25">
      <c r="AJ42">
        <f t="shared" si="10"/>
        <v>181</v>
      </c>
      <c r="AK42" s="6">
        <f t="shared" si="3"/>
        <v>0.60400169607474108</v>
      </c>
      <c r="AL42" s="6">
        <f t="shared" si="4"/>
        <v>0.36173118257504683</v>
      </c>
      <c r="AM42" s="6">
        <f t="shared" si="5"/>
        <v>0.21849144831445771</v>
      </c>
      <c r="AN42" s="6">
        <f t="shared" si="6"/>
        <v>0.60400169607474108</v>
      </c>
      <c r="AO42" s="6">
        <f t="shared" si="7"/>
        <v>0.60400169607474108</v>
      </c>
      <c r="AP42" s="6">
        <f t="shared" si="8"/>
        <v>0.60400169607474108</v>
      </c>
    </row>
    <row r="43" spans="2:42" x14ac:dyDescent="0.25">
      <c r="AJ43">
        <f t="shared" si="10"/>
        <v>186</v>
      </c>
      <c r="AK43" s="6">
        <f t="shared" si="3"/>
        <v>0.5956477265003729</v>
      </c>
      <c r="AL43" s="6">
        <f t="shared" si="4"/>
        <v>0.35171157790045721</v>
      </c>
      <c r="AM43" s="6">
        <f t="shared" si="5"/>
        <v>0.20950132604196997</v>
      </c>
      <c r="AN43" s="6">
        <f t="shared" si="6"/>
        <v>0.5956477265003729</v>
      </c>
      <c r="AO43" s="6">
        <f t="shared" si="7"/>
        <v>0.5956477265003729</v>
      </c>
      <c r="AP43" s="6">
        <f t="shared" si="8"/>
        <v>0.5956477265003729</v>
      </c>
    </row>
    <row r="44" spans="2:42" x14ac:dyDescent="0.25">
      <c r="AJ44">
        <f t="shared" si="10"/>
        <v>191</v>
      </c>
      <c r="AK44" s="6">
        <f t="shared" si="3"/>
        <v>0.58740930098507438</v>
      </c>
      <c r="AL44" s="6">
        <f t="shared" si="4"/>
        <v>0.34196950660609859</v>
      </c>
      <c r="AM44" s="6">
        <f t="shared" si="5"/>
        <v>0.20088111434995476</v>
      </c>
      <c r="AN44" s="6">
        <f t="shared" si="6"/>
        <v>0.58740930098507438</v>
      </c>
      <c r="AO44" s="6">
        <f t="shared" si="7"/>
        <v>0.58740930098507438</v>
      </c>
      <c r="AP44" s="6">
        <f t="shared" si="8"/>
        <v>0.58740930098507438</v>
      </c>
    </row>
    <row r="45" spans="2:42" x14ac:dyDescent="0.25">
      <c r="AJ45">
        <f t="shared" si="10"/>
        <v>196</v>
      </c>
      <c r="AK45" s="6">
        <f t="shared" si="3"/>
        <v>0.57928482143473381</v>
      </c>
      <c r="AL45" s="6">
        <f t="shared" si="4"/>
        <v>0.33249728128516787</v>
      </c>
      <c r="AM45" s="6">
        <f t="shared" si="5"/>
        <v>0.19261559277384013</v>
      </c>
      <c r="AN45" s="6">
        <f t="shared" si="6"/>
        <v>0.57928482143473381</v>
      </c>
      <c r="AO45" s="6">
        <f t="shared" si="7"/>
        <v>0.57928482143473381</v>
      </c>
      <c r="AP45" s="6">
        <f t="shared" si="8"/>
        <v>0.57928482143473381</v>
      </c>
    </row>
    <row r="46" spans="2:42" x14ac:dyDescent="0.25">
      <c r="AJ46">
        <f t="shared" si="10"/>
        <v>201</v>
      </c>
      <c r="AK46" s="6">
        <f t="shared" si="3"/>
        <v>0.57127271185853779</v>
      </c>
      <c r="AL46" s="6">
        <f t="shared" si="4"/>
        <v>0.32328742746461137</v>
      </c>
      <c r="AM46" s="6">
        <f t="shared" si="5"/>
        <v>0.18469016711538452</v>
      </c>
      <c r="AN46" s="6">
        <f t="shared" si="6"/>
        <v>0.57127271185853779</v>
      </c>
      <c r="AO46" s="6">
        <f t="shared" si="7"/>
        <v>0.57127271185853779</v>
      </c>
      <c r="AP46" s="6">
        <f t="shared" si="8"/>
        <v>0.57127271185853779</v>
      </c>
    </row>
    <row r="47" spans="2:42" x14ac:dyDescent="0.25">
      <c r="AJ47">
        <f t="shared" si="10"/>
        <v>206</v>
      </c>
      <c r="AK47" s="6">
        <f t="shared" si="3"/>
        <v>0.56337141806325919</v>
      </c>
      <c r="AL47" s="6">
        <f t="shared" si="4"/>
        <v>0.31433267770706608</v>
      </c>
      <c r="AM47" s="6">
        <f t="shared" si="5"/>
        <v>0.17709084367411268</v>
      </c>
      <c r="AN47" s="6">
        <f t="shared" si="6"/>
        <v>0.56337141806325919</v>
      </c>
      <c r="AO47" s="6">
        <f t="shared" si="7"/>
        <v>0.56337141806325919</v>
      </c>
      <c r="AP47" s="6">
        <f t="shared" si="8"/>
        <v>0.56337141806325919</v>
      </c>
    </row>
    <row r="48" spans="2:42" x14ac:dyDescent="0.25">
      <c r="AJ48">
        <f t="shared" si="10"/>
        <v>211</v>
      </c>
      <c r="AK48" s="6">
        <f t="shared" si="3"/>
        <v>0.5555794073517748</v>
      </c>
      <c r="AL48" s="6">
        <f t="shared" si="4"/>
        <v>0.30562596587617052</v>
      </c>
      <c r="AM48" s="6">
        <f t="shared" si="5"/>
        <v>0.16980420453903336</v>
      </c>
      <c r="AN48" s="6">
        <f t="shared" si="6"/>
        <v>0.5555794073517748</v>
      </c>
      <c r="AO48" s="6">
        <f t="shared" si="7"/>
        <v>0.5555794073517748</v>
      </c>
      <c r="AP48" s="6">
        <f t="shared" si="8"/>
        <v>0.5555794073517748</v>
      </c>
    </row>
    <row r="49" spans="36:42" x14ac:dyDescent="0.25">
      <c r="AJ49">
        <f t="shared" si="10"/>
        <v>216</v>
      </c>
      <c r="AK49" s="6">
        <f t="shared" si="3"/>
        <v>0.54789516822575102</v>
      </c>
      <c r="AL49" s="6">
        <f t="shared" si="4"/>
        <v>0.29716042156072142</v>
      </c>
      <c r="AM49" s="6">
        <f t="shared" si="5"/>
        <v>0.16281738389701275</v>
      </c>
      <c r="AN49" s="6">
        <f t="shared" si="6"/>
        <v>0.54789516822575102</v>
      </c>
      <c r="AO49" s="6">
        <f t="shared" si="7"/>
        <v>0.54789516822575102</v>
      </c>
      <c r="AP49" s="6">
        <f t="shared" si="8"/>
        <v>0.54789516822575102</v>
      </c>
    </row>
    <row r="50" spans="36:42" x14ac:dyDescent="0.25">
      <c r="AJ50">
        <f t="shared" si="10"/>
        <v>221</v>
      </c>
      <c r="AK50" s="6">
        <f t="shared" si="3"/>
        <v>0.54031721009244316</v>
      </c>
      <c r="AL50" s="6">
        <f t="shared" si="4"/>
        <v>0.28892936465327568</v>
      </c>
      <c r="AM50" s="6">
        <f t="shared" si="5"/>
        <v>0.15611804531597109</v>
      </c>
      <c r="AN50" s="6">
        <f t="shared" si="6"/>
        <v>0.54031721009244316</v>
      </c>
      <c r="AO50" s="6">
        <f t="shared" si="7"/>
        <v>0.54031721009244316</v>
      </c>
      <c r="AP50" s="6">
        <f t="shared" si="8"/>
        <v>0.54031721009244316</v>
      </c>
    </row>
    <row r="51" spans="36:42" x14ac:dyDescent="0.25">
      <c r="AJ51">
        <f t="shared" si="10"/>
        <v>226</v>
      </c>
      <c r="AK51" s="6">
        <f t="shared" si="3"/>
        <v>0.53284406297554965</v>
      </c>
      <c r="AL51" s="6">
        <f t="shared" si="4"/>
        <v>0.28092630007891994</v>
      </c>
      <c r="AM51" s="6">
        <f t="shared" si="5"/>
        <v>0.14969435996279248</v>
      </c>
      <c r="AN51" s="6">
        <f t="shared" si="6"/>
        <v>0.53284406297554965</v>
      </c>
      <c r="AO51" s="6">
        <f t="shared" si="7"/>
        <v>0.53284406297554965</v>
      </c>
      <c r="AP51" s="6">
        <f t="shared" si="8"/>
        <v>0.53284406297554965</v>
      </c>
    </row>
    <row r="52" spans="36:42" x14ac:dyDescent="0.25">
      <c r="AJ52">
        <f t="shared" si="10"/>
        <v>231</v>
      </c>
      <c r="AK52" s="6">
        <f t="shared" si="3"/>
        <v>0.52547427723006446</v>
      </c>
      <c r="AL52" s="6">
        <f t="shared" si="4"/>
        <v>0.27314491267004776</v>
      </c>
      <c r="AM52" s="6">
        <f t="shared" si="5"/>
        <v>0.14353498571748824</v>
      </c>
      <c r="AN52" s="6">
        <f t="shared" si="6"/>
        <v>0.52547427723006446</v>
      </c>
      <c r="AO52" s="6">
        <f t="shared" si="7"/>
        <v>0.52547427723006446</v>
      </c>
      <c r="AP52" s="6">
        <f t="shared" si="8"/>
        <v>0.52547427723006446</v>
      </c>
    </row>
    <row r="53" spans="36:42" x14ac:dyDescent="0.25">
      <c r="AJ53">
        <f t="shared" si="10"/>
        <v>236</v>
      </c>
      <c r="AK53" s="6">
        <f t="shared" si="3"/>
        <v>0.51820642326107513</v>
      </c>
      <c r="AL53" s="6">
        <f t="shared" si="4"/>
        <v>0.26557906218310112</v>
      </c>
      <c r="AM53" s="6">
        <f t="shared" si="5"/>
        <v>0.13762904714673543</v>
      </c>
      <c r="AN53" s="6">
        <f t="shared" si="6"/>
        <v>0.51820642326107513</v>
      </c>
      <c r="AO53" s="6">
        <f t="shared" si="7"/>
        <v>0.51820642326107513</v>
      </c>
      <c r="AP53" s="6">
        <f t="shared" si="8"/>
        <v>0.51820642326107513</v>
      </c>
    </row>
    <row r="54" spans="36:42" x14ac:dyDescent="0.25">
      <c r="AJ54">
        <f t="shared" si="10"/>
        <v>241</v>
      </c>
      <c r="AK54" s="6">
        <f t="shared" si="3"/>
        <v>0.51103909124644864</v>
      </c>
      <c r="AL54" s="6">
        <f t="shared" si="4"/>
        <v>0.25822277845334313</v>
      </c>
      <c r="AM54" s="6">
        <f t="shared" si="5"/>
        <v>0.13196611630143124</v>
      </c>
      <c r="AN54" s="6">
        <f t="shared" si="6"/>
        <v>0.51103909124644864</v>
      </c>
      <c r="AO54" s="6">
        <f t="shared" si="7"/>
        <v>0.51103909124644864</v>
      </c>
      <c r="AP54" s="6">
        <f t="shared" si="8"/>
        <v>0.51103909124644864</v>
      </c>
    </row>
    <row r="55" spans="36:42" x14ac:dyDescent="0.25">
      <c r="AJ55">
        <f t="shared" si="10"/>
        <v>246</v>
      </c>
      <c r="AK55" s="6">
        <f t="shared" si="3"/>
        <v>0.50397089086335345</v>
      </c>
      <c r="AL55" s="6">
        <f t="shared" si="4"/>
        <v>0.25107025668383853</v>
      </c>
      <c r="AM55" s="6">
        <f t="shared" si="5"/>
        <v>0.12653619430435736</v>
      </c>
      <c r="AN55" s="6">
        <f t="shared" si="6"/>
        <v>0.50397089086335345</v>
      </c>
      <c r="AO55" s="6">
        <f t="shared" si="7"/>
        <v>0.50397089086335345</v>
      </c>
      <c r="AP55" s="6">
        <f t="shared" si="8"/>
        <v>0.50397089086335345</v>
      </c>
    </row>
    <row r="56" spans="36:42" x14ac:dyDescent="0.25">
      <c r="AJ56">
        <f t="shared" si="10"/>
        <v>251</v>
      </c>
      <c r="AK56" s="6">
        <f t="shared" si="3"/>
        <v>0.4970004510185641</v>
      </c>
      <c r="AL56" s="6">
        <f t="shared" si="4"/>
        <v>0.24411585286492557</v>
      </c>
      <c r="AM56" s="6">
        <f t="shared" si="5"/>
        <v>0.12132969369544465</v>
      </c>
      <c r="AN56" s="6">
        <f t="shared" si="6"/>
        <v>0.4970004510185641</v>
      </c>
      <c r="AO56" s="6">
        <f t="shared" si="7"/>
        <v>0.4970004510185641</v>
      </c>
      <c r="AP56" s="6">
        <f t="shared" si="8"/>
        <v>0.4970004510185641</v>
      </c>
    </row>
    <row r="57" spans="36:42" x14ac:dyDescent="0.25">
      <c r="AJ57">
        <f t="shared" si="10"/>
        <v>256</v>
      </c>
      <c r="AK57" s="6">
        <f t="shared" si="3"/>
        <v>0.49012641958249575</v>
      </c>
      <c r="AL57" s="6">
        <f t="shared" si="4"/>
        <v>0.23735407932056327</v>
      </c>
      <c r="AM57" s="6">
        <f t="shared" si="5"/>
        <v>0.11633742150346545</v>
      </c>
      <c r="AN57" s="6">
        <f t="shared" si="6"/>
        <v>0.49012641958249575</v>
      </c>
      <c r="AO57" s="6">
        <f t="shared" si="7"/>
        <v>0.49012641958249575</v>
      </c>
      <c r="AP57" s="6">
        <f t="shared" si="8"/>
        <v>0.49012641958249575</v>
      </c>
    </row>
    <row r="58" spans="36:42" x14ac:dyDescent="0.25">
      <c r="AJ58">
        <f t="shared" si="10"/>
        <v>261</v>
      </c>
      <c r="AK58" s="6">
        <f t="shared" si="3"/>
        <v>0.48334746312691729</v>
      </c>
      <c r="AL58" s="6">
        <f t="shared" si="4"/>
        <v>0.23077960037804124</v>
      </c>
      <c r="AM58" s="6">
        <f t="shared" si="5"/>
        <v>0.11155056301426348</v>
      </c>
      <c r="AN58" s="6">
        <f t="shared" si="6"/>
        <v>0.48334746312691729</v>
      </c>
      <c r="AO58" s="6">
        <f t="shared" si="7"/>
        <v>0.48334746312691729</v>
      </c>
      <c r="AP58" s="6">
        <f t="shared" si="8"/>
        <v>0.48334746312691729</v>
      </c>
    </row>
    <row r="59" spans="36:42" x14ac:dyDescent="0.25">
      <c r="AJ59">
        <f t="shared" si="10"/>
        <v>266</v>
      </c>
      <c r="AK59" s="6">
        <f t="shared" si="3"/>
        <v>0.47666226666629236</v>
      </c>
      <c r="AL59" s="6">
        <f t="shared" si="4"/>
        <v>0.22438722815763409</v>
      </c>
      <c r="AM59" s="6">
        <f t="shared" si="5"/>
        <v>0.10696066620686187</v>
      </c>
      <c r="AN59" s="6">
        <f t="shared" si="6"/>
        <v>0.47666226666629236</v>
      </c>
      <c r="AO59" s="6">
        <f t="shared" si="7"/>
        <v>0.47666226666629236</v>
      </c>
      <c r="AP59" s="6">
        <f t="shared" si="8"/>
        <v>0.47666226666629236</v>
      </c>
    </row>
    <row r="60" spans="36:42" x14ac:dyDescent="0.25">
      <c r="AJ60">
        <f t="shared" si="10"/>
        <v>271</v>
      </c>
      <c r="AK60" s="6">
        <f t="shared" si="3"/>
        <v>0.47006953340269758</v>
      </c>
      <c r="AL60" s="6">
        <f t="shared" si="4"/>
        <v>0.21817191847887832</v>
      </c>
      <c r="AM60" s="6">
        <f t="shared" si="5"/>
        <v>0.10255962682996832</v>
      </c>
      <c r="AN60" s="6">
        <f t="shared" si="6"/>
        <v>0.47006953340269758</v>
      </c>
      <c r="AO60" s="6">
        <f t="shared" si="7"/>
        <v>0.47006953340269758</v>
      </c>
      <c r="AP60" s="6">
        <f t="shared" si="8"/>
        <v>0.47006953340269758</v>
      </c>
    </row>
    <row r="61" spans="36:42" x14ac:dyDescent="0.25">
      <c r="AJ61">
        <f t="shared" si="10"/>
        <v>276</v>
      </c>
      <c r="AK61" s="6">
        <f t="shared" si="3"/>
        <v>0.46356798447426928</v>
      </c>
      <c r="AL61" s="6">
        <f t="shared" si="4"/>
        <v>0.21212876688024157</v>
      </c>
      <c r="AM61" s="6">
        <f t="shared" si="5"/>
        <v>9.8339674092526932E-2</v>
      </c>
      <c r="AN61" s="6">
        <f t="shared" si="6"/>
        <v>0.46356798447426928</v>
      </c>
      <c r="AO61" s="6">
        <f t="shared" si="7"/>
        <v>0.46356798447426928</v>
      </c>
      <c r="AP61" s="6">
        <f t="shared" si="8"/>
        <v>0.46356798447426928</v>
      </c>
    </row>
    <row r="62" spans="36:42" x14ac:dyDescent="0.25">
      <c r="AJ62">
        <f t="shared" si="10"/>
        <v>281</v>
      </c>
      <c r="AK62" s="6">
        <f t="shared" si="3"/>
        <v>0.45715635870712901</v>
      </c>
      <c r="AL62" s="6">
        <f t="shared" si="4"/>
        <v>0.20625300474904282</v>
      </c>
      <c r="AM62" s="6">
        <f t="shared" si="5"/>
        <v>9.4293356943051951E-2</v>
      </c>
      <c r="AN62" s="6">
        <f t="shared" si="6"/>
        <v>0.45715635870712901</v>
      </c>
      <c r="AO62" s="6">
        <f t="shared" si="7"/>
        <v>0.45715635870712901</v>
      </c>
      <c r="AP62" s="6">
        <f t="shared" si="8"/>
        <v>0.45715635870712901</v>
      </c>
    </row>
    <row r="63" spans="36:42" x14ac:dyDescent="0.25">
      <c r="AJ63">
        <f t="shared" si="10"/>
        <v>286</v>
      </c>
      <c r="AK63" s="6">
        <f t="shared" si="3"/>
        <v>0.45083341237074037</v>
      </c>
      <c r="AL63" s="6">
        <f t="shared" si="4"/>
        <v>0.20053999555857047</v>
      </c>
      <c r="AM63" s="6">
        <f t="shared" si="5"/>
        <v>9.0413530913516352E-2</v>
      </c>
      <c r="AN63" s="6">
        <f t="shared" si="6"/>
        <v>0.45083341237074037</v>
      </c>
      <c r="AO63" s="6">
        <f t="shared" si="7"/>
        <v>0.45083341237074037</v>
      </c>
      <c r="AP63" s="6">
        <f t="shared" si="8"/>
        <v>0.45083341237074037</v>
      </c>
    </row>
    <row r="64" spans="36:42" x14ac:dyDescent="0.25">
      <c r="AJ64">
        <f t="shared" si="10"/>
        <v>291</v>
      </c>
      <c r="AK64" s="6">
        <f t="shared" si="3"/>
        <v>0.44459791893664952</v>
      </c>
      <c r="AL64" s="6">
        <f t="shared" si="4"/>
        <v>0.19498523120942848</v>
      </c>
      <c r="AM64" s="6">
        <f t="shared" si="5"/>
        <v>8.6693345504566074E-2</v>
      </c>
      <c r="AN64" s="6">
        <f t="shared" si="6"/>
        <v>0.44459791893664952</v>
      </c>
      <c r="AO64" s="6">
        <f t="shared" si="7"/>
        <v>0.44459791893664952</v>
      </c>
      <c r="AP64" s="6">
        <f t="shared" si="8"/>
        <v>0.44459791893664952</v>
      </c>
    </row>
    <row r="65" spans="36:42" x14ac:dyDescent="0.25">
      <c r="AJ65">
        <f t="shared" si="10"/>
        <v>296</v>
      </c>
      <c r="AK65" s="6">
        <f t="shared" si="3"/>
        <v>0.43844866884056272</v>
      </c>
      <c r="AL65" s="6">
        <f t="shared" si="4"/>
        <v>0.18958432847222356</v>
      </c>
      <c r="AM65" s="6">
        <f t="shared" si="5"/>
        <v>8.3126232089786686E-2</v>
      </c>
      <c r="AN65" s="6">
        <f t="shared" si="6"/>
        <v>0.43844866884056272</v>
      </c>
      <c r="AO65" s="6">
        <f t="shared" si="7"/>
        <v>0.43844866884056272</v>
      </c>
      <c r="AP65" s="6">
        <f t="shared" si="8"/>
        <v>0.43844866884056272</v>
      </c>
    </row>
    <row r="66" spans="36:42" x14ac:dyDescent="0.25">
      <c r="AJ66">
        <f t="shared" si="10"/>
        <v>301</v>
      </c>
      <c r="AK66" s="6">
        <f t="shared" si="3"/>
        <v>0.43238446924771412</v>
      </c>
      <c r="AL66" s="6">
        <f t="shared" si="4"/>
        <v>0.18433302552878672</v>
      </c>
      <c r="AM66" s="6">
        <f t="shared" si="5"/>
        <v>7.9705892317665172E-2</v>
      </c>
      <c r="AN66" s="6">
        <f t="shared" si="6"/>
        <v>0.43238446924771412</v>
      </c>
      <c r="AO66" s="6">
        <f t="shared" si="7"/>
        <v>0.43238446924771412</v>
      </c>
      <c r="AP66" s="6">
        <f t="shared" si="8"/>
        <v>0.43238446924771412</v>
      </c>
    </row>
    <row r="67" spans="36:42" x14ac:dyDescent="0.25">
      <c r="AJ67">
        <f t="shared" si="10"/>
        <v>306</v>
      </c>
      <c r="AK67" s="6">
        <f t="shared" si="3"/>
        <v>0.42640414382147923</v>
      </c>
      <c r="AL67" s="6">
        <f t="shared" si="4"/>
        <v>0.1792271786091994</v>
      </c>
      <c r="AM67" s="6">
        <f t="shared" si="5"/>
        <v>7.6426286990768116E-2</v>
      </c>
      <c r="AN67" s="6">
        <f t="shared" si="6"/>
        <v>0.42640414382147923</v>
      </c>
      <c r="AO67" s="6">
        <f t="shared" si="7"/>
        <v>0.42640414382147923</v>
      </c>
      <c r="AP67" s="6">
        <f t="shared" si="8"/>
        <v>0.42640414382147923</v>
      </c>
    </row>
    <row r="68" spans="36:42" x14ac:dyDescent="0.25">
      <c r="AJ68">
        <f t="shared" si="10"/>
        <v>311</v>
      </c>
      <c r="AK68" s="6">
        <f t="shared" si="3"/>
        <v>0.42050653249518855</v>
      </c>
      <c r="AL68" s="6">
        <f t="shared" si="4"/>
        <v>0.17426275872197089</v>
      </c>
      <c r="AM68" s="6">
        <f t="shared" si="5"/>
        <v>7.3281625402501355E-2</v>
      </c>
      <c r="AN68" s="6">
        <f t="shared" si="6"/>
        <v>0.42050653249518855</v>
      </c>
      <c r="AO68" s="6">
        <f t="shared" si="7"/>
        <v>0.42050653249518855</v>
      </c>
      <c r="AP68" s="6">
        <f t="shared" si="8"/>
        <v>0.42050653249518855</v>
      </c>
    </row>
    <row r="69" spans="36:42" x14ac:dyDescent="0.25">
      <c r="AJ69">
        <f t="shared" si="10"/>
        <v>316</v>
      </c>
      <c r="AK69" s="6">
        <f t="shared" si="3"/>
        <v>0.41469049124709711</v>
      </c>
      <c r="AL69" s="6">
        <f t="shared" si="4"/>
        <v>0.16943584847478671</v>
      </c>
      <c r="AM69" s="6">
        <f t="shared" si="5"/>
        <v>7.0266355112622761E-2</v>
      </c>
      <c r="AN69" s="6">
        <f t="shared" si="6"/>
        <v>0.41469049124709711</v>
      </c>
      <c r="AO69" s="6">
        <f t="shared" si="7"/>
        <v>0.41469049124709711</v>
      </c>
      <c r="AP69" s="6">
        <f t="shared" si="8"/>
        <v>0.41469049124709711</v>
      </c>
    </row>
    <row r="70" spans="36:42" x14ac:dyDescent="0.25">
      <c r="AJ70">
        <f t="shared" si="10"/>
        <v>321</v>
      </c>
      <c r="AK70" s="6">
        <f t="shared" si="3"/>
        <v>0.40895489187846656</v>
      </c>
      <c r="AL70" s="6">
        <f t="shared" si="4"/>
        <v>0.16474263898331903</v>
      </c>
      <c r="AM70" s="6">
        <f t="shared" si="5"/>
        <v>6.7375152143455019E-2</v>
      </c>
      <c r="AN70" s="6">
        <f t="shared" si="6"/>
        <v>0.40895489187846656</v>
      </c>
      <c r="AO70" s="6">
        <f t="shared" si="7"/>
        <v>0.40895489187846656</v>
      </c>
      <c r="AP70" s="6">
        <f t="shared" si="8"/>
        <v>0.40895489187846656</v>
      </c>
    </row>
    <row r="71" spans="36:42" x14ac:dyDescent="0.25">
      <c r="AJ71">
        <f t="shared" si="10"/>
        <v>326</v>
      </c>
      <c r="AK71" s="6">
        <f t="shared" ref="AK71:AK79" si="11">EXP(-$AE$6*(AJ71))</f>
        <v>0.40329862179471665</v>
      </c>
      <c r="AL71" s="6">
        <f t="shared" ref="AL71:AL79" si="12">EXP(-$AE$9*(AJ71))</f>
        <v>0.16017942686566022</v>
      </c>
      <c r="AM71" s="6">
        <f t="shared" ref="AM71:AM79" si="13">EXP(-$AE$13*(AJ71))</f>
        <v>6.4602911579488526E-2</v>
      </c>
      <c r="AN71" s="6">
        <f t="shared" ref="AN71:AN79" si="14">EXP(-$AE$15*(AJ71))</f>
        <v>0.40329862179471665</v>
      </c>
      <c r="AO71" s="6">
        <f t="shared" ref="AO71:AO79" si="15">EXP(-$AE$17*(AJ71))</f>
        <v>0.40329862179471665</v>
      </c>
      <c r="AP71" s="6">
        <f t="shared" ref="AP71:AP79" si="16">EXP(-$AE$19*(AJ71))</f>
        <v>0.40329862179471665</v>
      </c>
    </row>
    <row r="72" spans="36:42" x14ac:dyDescent="0.25">
      <c r="AJ72">
        <f t="shared" ref="AJ72:AJ79" si="17">AJ71+5</f>
        <v>331</v>
      </c>
      <c r="AK72" s="6">
        <f t="shared" si="11"/>
        <v>0.39772058378960357</v>
      </c>
      <c r="AL72" s="6">
        <f t="shared" si="12"/>
        <v>0.15574261132000763</v>
      </c>
      <c r="AM72" s="6">
        <f t="shared" si="13"/>
        <v>6.1944738553776177E-2</v>
      </c>
      <c r="AN72" s="6">
        <f t="shared" si="14"/>
        <v>0.39772058378960357</v>
      </c>
      <c r="AO72" s="6">
        <f t="shared" si="15"/>
        <v>0.39772058378960357</v>
      </c>
      <c r="AP72" s="6">
        <f t="shared" si="16"/>
        <v>0.39772058378960357</v>
      </c>
    </row>
    <row r="73" spans="36:42" x14ac:dyDescent="0.25">
      <c r="AJ73">
        <f t="shared" si="17"/>
        <v>336</v>
      </c>
      <c r="AK73" s="6">
        <f t="shared" si="11"/>
        <v>0.39221969583238303</v>
      </c>
      <c r="AL73" s="6">
        <f t="shared" si="12"/>
        <v>0.15142869128329364</v>
      </c>
      <c r="AM73" s="6">
        <f t="shared" si="13"/>
        <v>5.9395939605204784E-2</v>
      </c>
      <c r="AN73" s="6">
        <f t="shared" si="14"/>
        <v>0.39221969583238303</v>
      </c>
      <c r="AO73" s="6">
        <f t="shared" si="15"/>
        <v>0.39221969583238303</v>
      </c>
      <c r="AP73" s="6">
        <f t="shared" si="16"/>
        <v>0.39221969583238303</v>
      </c>
    </row>
    <row r="74" spans="36:42" x14ac:dyDescent="0.25">
      <c r="AJ74">
        <f t="shared" si="17"/>
        <v>341</v>
      </c>
      <c r="AK74" s="6">
        <f t="shared" si="11"/>
        <v>0.38679489085791779</v>
      </c>
      <c r="AL74" s="6">
        <f t="shared" si="12"/>
        <v>0.14723426266851891</v>
      </c>
      <c r="AM74" s="6">
        <f t="shared" si="13"/>
        <v>5.6952014391383234E-2</v>
      </c>
      <c r="AN74" s="6">
        <f t="shared" si="14"/>
        <v>0.38679489085791779</v>
      </c>
      <c r="AO74" s="6">
        <f t="shared" si="15"/>
        <v>0.38679489085791779</v>
      </c>
      <c r="AP74" s="6">
        <f t="shared" si="16"/>
        <v>0.38679489085791779</v>
      </c>
    </row>
    <row r="75" spans="36:42" x14ac:dyDescent="0.25">
      <c r="AJ75">
        <f t="shared" si="17"/>
        <v>346</v>
      </c>
      <c r="AK75" s="6">
        <f t="shared" si="11"/>
        <v>0.38144511655968755</v>
      </c>
      <c r="AL75" s="6">
        <f t="shared" si="12"/>
        <v>0.14315601567860894</v>
      </c>
      <c r="AM75" s="6">
        <f t="shared" si="13"/>
        <v>5.4608647742515011E-2</v>
      </c>
      <c r="AN75" s="6">
        <f t="shared" si="14"/>
        <v>0.38144511655968755</v>
      </c>
      <c r="AO75" s="6">
        <f t="shared" si="15"/>
        <v>0.38144511655968755</v>
      </c>
      <c r="AP75" s="6">
        <f t="shared" si="16"/>
        <v>0.38144511655968755</v>
      </c>
    </row>
    <row r="76" spans="36:42" x14ac:dyDescent="0.25">
      <c r="AJ76">
        <f t="shared" si="17"/>
        <v>351</v>
      </c>
      <c r="AK76" s="6">
        <f t="shared" si="11"/>
        <v>0.37616933518566198</v>
      </c>
      <c r="AL76" s="6">
        <f t="shared" si="12"/>
        <v>0.13919073219467418</v>
      </c>
      <c r="AM76" s="6">
        <f t="shared" si="13"/>
        <v>5.2361702042224491E-2</v>
      </c>
      <c r="AN76" s="6">
        <f t="shared" si="14"/>
        <v>0.37616933518566198</v>
      </c>
      <c r="AO76" s="6">
        <f t="shared" si="15"/>
        <v>0.37616933518566198</v>
      </c>
      <c r="AP76" s="6">
        <f t="shared" si="16"/>
        <v>0.37616933518566198</v>
      </c>
    </row>
    <row r="77" spans="36:42" x14ac:dyDescent="0.25">
      <c r="AJ77">
        <f t="shared" si="17"/>
        <v>356</v>
      </c>
      <c r="AK77" s="6">
        <f t="shared" si="11"/>
        <v>0.37096652333699709</v>
      </c>
      <c r="AL77" s="6">
        <f t="shared" si="12"/>
        <v>0.1353352832366127</v>
      </c>
      <c r="AM77" s="6">
        <f t="shared" si="13"/>
        <v>5.0207209921884495E-2</v>
      </c>
      <c r="AN77" s="6">
        <f t="shared" si="14"/>
        <v>0.37096652333699709</v>
      </c>
      <c r="AO77" s="6">
        <f t="shared" si="15"/>
        <v>0.37096652333699709</v>
      </c>
      <c r="AP77" s="6">
        <f t="shared" si="16"/>
        <v>0.37096652333699709</v>
      </c>
    </row>
    <row r="78" spans="36:42" x14ac:dyDescent="0.25">
      <c r="AJ78">
        <f t="shared" si="17"/>
        <v>361</v>
      </c>
      <c r="AK78" s="6">
        <f t="shared" si="11"/>
        <v>0.36583567176951587</v>
      </c>
      <c r="AL78" s="6">
        <f t="shared" si="12"/>
        <v>0.13158662649405181</v>
      </c>
      <c r="AM78" s="6">
        <f t="shared" si="13"/>
        <v>4.814136725554554E-2</v>
      </c>
      <c r="AN78" s="6">
        <f t="shared" si="14"/>
        <v>0.36583567176951587</v>
      </c>
      <c r="AO78" s="6">
        <f t="shared" si="15"/>
        <v>0.36583567176951587</v>
      </c>
      <c r="AP78" s="6">
        <f t="shared" si="16"/>
        <v>0.36583567176951587</v>
      </c>
    </row>
    <row r="79" spans="36:42" x14ac:dyDescent="0.25">
      <c r="AJ79">
        <f t="shared" si="17"/>
        <v>366</v>
      </c>
      <c r="AK79" s="6">
        <f t="shared" si="11"/>
        <v>0.36077578519793424</v>
      </c>
      <c r="AL79" s="6">
        <f t="shared" si="12"/>
        <v>0.12794180392568019</v>
      </c>
      <c r="AM79" s="6">
        <f t="shared" si="13"/>
        <v>4.6160526443097816E-2</v>
      </c>
      <c r="AN79" s="6">
        <f t="shared" si="14"/>
        <v>0.36077578519793424</v>
      </c>
      <c r="AO79" s="6">
        <f t="shared" si="15"/>
        <v>0.36077578519793424</v>
      </c>
      <c r="AP79" s="6">
        <f t="shared" si="16"/>
        <v>0.36077578519793424</v>
      </c>
    </row>
    <row r="80" spans="36:42" x14ac:dyDescent="0.25">
      <c r="AK80" s="11"/>
      <c r="AL80" s="11"/>
      <c r="AM80" s="11"/>
      <c r="AN80" s="60"/>
      <c r="AO80" s="60"/>
      <c r="AP80" s="60"/>
    </row>
    <row r="81" spans="37:42" x14ac:dyDescent="0.25">
      <c r="AK81" s="11"/>
      <c r="AL81" s="11"/>
      <c r="AM81" s="11"/>
      <c r="AN81" s="11"/>
      <c r="AO81" s="11"/>
      <c r="AP81" s="11"/>
    </row>
    <row r="82" spans="37:42" x14ac:dyDescent="0.25">
      <c r="AK82" s="11"/>
      <c r="AL82" s="11"/>
      <c r="AM82" s="11"/>
      <c r="AN82" s="11"/>
      <c r="AO82" s="11"/>
      <c r="AP82" s="11"/>
    </row>
    <row r="83" spans="37:42" x14ac:dyDescent="0.25">
      <c r="AK83" s="11"/>
      <c r="AL83" s="11"/>
      <c r="AM83" s="11"/>
      <c r="AN83" s="11"/>
      <c r="AO83" s="11"/>
      <c r="AP83" s="11"/>
    </row>
    <row r="84" spans="37:42" x14ac:dyDescent="0.25">
      <c r="AK84" s="11"/>
      <c r="AL84" s="11"/>
      <c r="AM84" s="11"/>
      <c r="AN84" s="11"/>
      <c r="AO84" s="11"/>
      <c r="AP84" s="11"/>
    </row>
    <row r="85" spans="37:42" x14ac:dyDescent="0.25">
      <c r="AK85" s="11"/>
      <c r="AL85" s="11"/>
      <c r="AM85" s="11"/>
      <c r="AN85" s="11"/>
      <c r="AO85" s="11"/>
      <c r="AP85" s="11"/>
    </row>
    <row r="86" spans="37:42" x14ac:dyDescent="0.25">
      <c r="AK86" s="11"/>
      <c r="AL86" s="11"/>
      <c r="AM86" s="11"/>
      <c r="AN86" s="11"/>
      <c r="AO86" s="11"/>
      <c r="AP86" s="11"/>
    </row>
    <row r="87" spans="37:42" x14ac:dyDescent="0.25">
      <c r="AK87" s="11"/>
      <c r="AL87" s="11"/>
      <c r="AM87" s="11"/>
      <c r="AN87" s="11"/>
      <c r="AO87" s="11"/>
      <c r="AP87" s="11"/>
    </row>
    <row r="88" spans="37:42" x14ac:dyDescent="0.25">
      <c r="AK88" s="11"/>
      <c r="AL88" s="11"/>
      <c r="AM88" s="11"/>
      <c r="AN88" s="11"/>
      <c r="AO88" s="11"/>
      <c r="AP88" s="11"/>
    </row>
  </sheetData>
  <sheetProtection sheet="1" objects="1" scenarios="1"/>
  <mergeCells count="4">
    <mergeCell ref="AN3:AP3"/>
    <mergeCell ref="B2:R3"/>
    <mergeCell ref="T2:AI3"/>
    <mergeCell ref="AK3:AM3"/>
  </mergeCells>
  <pageMargins left="0.7" right="0.7" top="0.75" bottom="0.75" header="0.3" footer="0.3"/>
  <drawing r:id="rId1"/>
  <legacy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2:BM85"/>
  <sheetViews>
    <sheetView zoomScale="85" zoomScaleNormal="85" workbookViewId="0">
      <selection activeCell="BI30" sqref="BI30"/>
    </sheetView>
  </sheetViews>
  <sheetFormatPr defaultRowHeight="15" x14ac:dyDescent="0.25"/>
  <cols>
    <col min="1" max="1" width="3" customWidth="1"/>
    <col min="2" max="3" width="10.42578125" bestFit="1" customWidth="1"/>
    <col min="4" max="4" width="21.42578125" bestFit="1" customWidth="1"/>
    <col min="6" max="6" width="19.28515625" bestFit="1" customWidth="1"/>
    <col min="7" max="7" width="19.140625" bestFit="1" customWidth="1"/>
    <col min="8" max="8" width="18.140625" bestFit="1" customWidth="1"/>
    <col min="13" max="21" width="9.140625" style="60"/>
    <col min="22" max="24" width="9.140625" customWidth="1"/>
    <col min="25" max="25" width="12.42578125" customWidth="1"/>
    <col min="26" max="36" width="9.140625" customWidth="1"/>
    <col min="37" max="37" width="9.140625" style="60"/>
    <col min="50" max="52" width="9.140625" customWidth="1"/>
    <col min="53" max="53" width="12.42578125" customWidth="1"/>
    <col min="54" max="64" width="9.140625" customWidth="1"/>
    <col min="65" max="65" width="9.140625" style="60"/>
  </cols>
  <sheetData>
    <row r="2" spans="2:65" ht="15" customHeight="1" x14ac:dyDescent="0.25">
      <c r="B2" s="123" t="s">
        <v>407</v>
      </c>
      <c r="C2" s="123"/>
      <c r="D2" s="123"/>
      <c r="E2" s="123"/>
      <c r="F2" s="123"/>
      <c r="G2" s="123"/>
      <c r="H2" s="123"/>
    </row>
    <row r="3" spans="2:65" ht="15" customHeight="1" x14ac:dyDescent="0.25">
      <c r="B3" s="123"/>
      <c r="C3" s="123"/>
      <c r="D3" s="123"/>
      <c r="E3" s="123"/>
      <c r="F3" s="123"/>
      <c r="G3" s="123"/>
      <c r="H3" s="123"/>
      <c r="J3" s="130" t="s">
        <v>292</v>
      </c>
      <c r="K3" s="130"/>
      <c r="L3" s="130"/>
      <c r="M3" s="130"/>
      <c r="N3" s="130"/>
      <c r="O3" s="130"/>
      <c r="P3" s="130"/>
      <c r="Q3" s="130"/>
      <c r="R3" s="130"/>
      <c r="S3" s="130"/>
      <c r="T3" s="130"/>
      <c r="U3" s="130"/>
      <c r="AK3" s="114"/>
      <c r="AL3" s="130" t="s">
        <v>292</v>
      </c>
      <c r="AM3" s="130"/>
      <c r="AN3" s="130"/>
      <c r="BM3" s="114"/>
    </row>
    <row r="4" spans="2:65" x14ac:dyDescent="0.25">
      <c r="B4" s="7" t="s">
        <v>165</v>
      </c>
      <c r="C4" s="7" t="s">
        <v>5</v>
      </c>
      <c r="D4" s="7" t="s">
        <v>197</v>
      </c>
      <c r="E4" s="7" t="s">
        <v>185</v>
      </c>
      <c r="F4" s="7" t="s">
        <v>278</v>
      </c>
      <c r="G4" s="7" t="s">
        <v>282</v>
      </c>
      <c r="H4" s="7" t="s">
        <v>280</v>
      </c>
      <c r="J4" s="131" t="s">
        <v>6</v>
      </c>
      <c r="K4" s="131"/>
      <c r="L4" s="131"/>
      <c r="M4" s="131"/>
      <c r="N4" s="131"/>
      <c r="O4" s="131"/>
      <c r="P4" s="131"/>
      <c r="Q4" s="131"/>
      <c r="R4" s="131"/>
      <c r="S4" s="131"/>
      <c r="T4" s="131"/>
      <c r="U4" s="131"/>
      <c r="AK4" s="115"/>
      <c r="AL4" s="131" t="s">
        <v>359</v>
      </c>
      <c r="AM4" s="131"/>
      <c r="AN4" s="131"/>
      <c r="BM4" s="115"/>
    </row>
    <row r="5" spans="2:65" x14ac:dyDescent="0.25">
      <c r="B5" s="8"/>
      <c r="C5" s="9"/>
      <c r="D5" s="9"/>
      <c r="E5" s="9" t="s">
        <v>187</v>
      </c>
      <c r="F5" s="9" t="s">
        <v>199</v>
      </c>
      <c r="G5" s="9" t="s">
        <v>281</v>
      </c>
      <c r="H5" s="9" t="s">
        <v>283</v>
      </c>
      <c r="J5" s="116" t="s">
        <v>286</v>
      </c>
      <c r="K5" s="116" t="s">
        <v>284</v>
      </c>
      <c r="L5" s="116" t="s">
        <v>287</v>
      </c>
      <c r="M5" s="116" t="s">
        <v>306</v>
      </c>
      <c r="N5" s="116" t="s">
        <v>307</v>
      </c>
      <c r="O5" s="116" t="s">
        <v>308</v>
      </c>
      <c r="P5" s="116" t="s">
        <v>309</v>
      </c>
      <c r="Q5" s="116" t="s">
        <v>310</v>
      </c>
      <c r="R5" s="116" t="s">
        <v>311</v>
      </c>
      <c r="S5" s="116" t="s">
        <v>312</v>
      </c>
      <c r="T5" s="116" t="s">
        <v>313</v>
      </c>
      <c r="U5" s="116" t="s">
        <v>314</v>
      </c>
      <c r="X5" s="116" t="s">
        <v>286</v>
      </c>
      <c r="Y5" s="116" t="s">
        <v>314</v>
      </c>
      <c r="AK5" s="115"/>
      <c r="AL5" s="119" t="s">
        <v>286</v>
      </c>
      <c r="AM5" s="82" t="s">
        <v>284</v>
      </c>
      <c r="AN5" s="82" t="s">
        <v>287</v>
      </c>
      <c r="AO5" s="116" t="s">
        <v>306</v>
      </c>
      <c r="AP5" s="116" t="s">
        <v>307</v>
      </c>
      <c r="AQ5" s="116" t="s">
        <v>308</v>
      </c>
      <c r="AR5" s="116" t="s">
        <v>309</v>
      </c>
      <c r="AS5" s="116" t="s">
        <v>310</v>
      </c>
      <c r="AT5" s="116" t="s">
        <v>311</v>
      </c>
      <c r="AU5" s="116" t="s">
        <v>312</v>
      </c>
      <c r="AV5" s="116" t="s">
        <v>313</v>
      </c>
      <c r="AW5" s="116" t="s">
        <v>314</v>
      </c>
      <c r="AZ5" s="116" t="s">
        <v>286</v>
      </c>
      <c r="BA5" s="116" t="s">
        <v>314</v>
      </c>
      <c r="BM5" s="115"/>
    </row>
    <row r="6" spans="2:65" x14ac:dyDescent="0.25">
      <c r="B6" s="6">
        <f>DAYS360("31-12-2009",C6)</f>
        <v>1028</v>
      </c>
      <c r="C6" s="5">
        <v>41221</v>
      </c>
      <c r="D6" s="6" t="s">
        <v>402</v>
      </c>
      <c r="E6" s="33">
        <v>120</v>
      </c>
      <c r="F6" s="79" t="s">
        <v>279</v>
      </c>
      <c r="G6" s="79" t="s">
        <v>279</v>
      </c>
      <c r="H6" s="79" t="s">
        <v>279</v>
      </c>
      <c r="J6" s="83" t="s">
        <v>293</v>
      </c>
      <c r="K6" s="83" t="s">
        <v>293</v>
      </c>
      <c r="L6" s="83" t="s">
        <v>293</v>
      </c>
      <c r="M6" s="83" t="s">
        <v>293</v>
      </c>
      <c r="N6" s="83" t="s">
        <v>293</v>
      </c>
      <c r="O6" s="83" t="s">
        <v>293</v>
      </c>
      <c r="P6" s="83" t="s">
        <v>293</v>
      </c>
      <c r="Q6" s="83" t="s">
        <v>293</v>
      </c>
      <c r="R6" s="83" t="s">
        <v>293</v>
      </c>
      <c r="S6" s="83" t="s">
        <v>293</v>
      </c>
      <c r="T6" s="83" t="s">
        <v>293</v>
      </c>
      <c r="U6" s="83" t="s">
        <v>293</v>
      </c>
      <c r="X6" s="83" t="s">
        <v>293</v>
      </c>
      <c r="Y6" s="83" t="s">
        <v>293</v>
      </c>
      <c r="AK6" s="93"/>
      <c r="AL6" s="120" t="s">
        <v>293</v>
      </c>
      <c r="AM6" s="83" t="s">
        <v>293</v>
      </c>
      <c r="AN6" s="83" t="s">
        <v>293</v>
      </c>
      <c r="AO6" s="83" t="s">
        <v>293</v>
      </c>
      <c r="AP6" s="83" t="s">
        <v>293</v>
      </c>
      <c r="AQ6" s="83" t="s">
        <v>293</v>
      </c>
      <c r="AR6" s="83" t="s">
        <v>293</v>
      </c>
      <c r="AS6" s="83" t="s">
        <v>293</v>
      </c>
      <c r="AT6" s="83" t="s">
        <v>293</v>
      </c>
      <c r="AU6" s="83" t="s">
        <v>293</v>
      </c>
      <c r="AV6" s="83" t="s">
        <v>293</v>
      </c>
      <c r="AW6" s="83" t="s">
        <v>293</v>
      </c>
      <c r="AZ6" s="83" t="s">
        <v>293</v>
      </c>
      <c r="BA6" s="83" t="s">
        <v>293</v>
      </c>
      <c r="BM6" s="93"/>
    </row>
    <row r="7" spans="2:65" x14ac:dyDescent="0.25">
      <c r="B7" s="6">
        <f t="shared" ref="B7:B8" si="0">DAYS360("31-12-2009",C7)</f>
        <v>1549</v>
      </c>
      <c r="C7" s="5">
        <v>41748</v>
      </c>
      <c r="D7" s="6" t="s">
        <v>402</v>
      </c>
      <c r="E7" s="6">
        <v>2880</v>
      </c>
      <c r="F7" s="6">
        <f>C7-C6</f>
        <v>527</v>
      </c>
      <c r="G7" s="6">
        <v>527</v>
      </c>
      <c r="H7" s="6">
        <v>55</v>
      </c>
      <c r="J7" s="6">
        <v>55</v>
      </c>
      <c r="K7" s="6">
        <v>1</v>
      </c>
      <c r="L7" s="83">
        <f>($L$13-K7+0.625)/($L$13+0.25)</f>
        <v>0.88095238095238093</v>
      </c>
      <c r="M7" s="88">
        <f t="shared" ref="M7:M11" si="1">1-L7</f>
        <v>0.11904761904761907</v>
      </c>
      <c r="N7" s="6">
        <f t="shared" ref="N7:N11" si="2">LN(LN(1/L7))</f>
        <v>-2.065525179882302</v>
      </c>
      <c r="O7" s="6">
        <f t="shared" ref="O7:O11" si="3">LN(J7)</f>
        <v>4.0073331852324712</v>
      </c>
      <c r="P7" s="6">
        <f t="shared" ref="P7:P11" si="4">1/L7</f>
        <v>1.1351351351351351</v>
      </c>
      <c r="Q7" s="6">
        <f t="shared" ref="Q7:Q11" si="5">LN(LN(P7))</f>
        <v>-2.065525179882302</v>
      </c>
      <c r="R7" s="6">
        <f t="shared" ref="R7:R11" si="6">LN(J7)</f>
        <v>4.0073331852324712</v>
      </c>
      <c r="S7" s="6">
        <f t="shared" ref="S7:S11" si="7">R7*R7</f>
        <v>16.058719257465423</v>
      </c>
      <c r="T7" s="6">
        <f t="shared" ref="T7:T11" si="8">R7*Q7</f>
        <v>-8.2772475982756184</v>
      </c>
      <c r="U7" s="6">
        <f>EXP(-((J7/$K$42)^$K$43))</f>
        <v>0.82968157475120574</v>
      </c>
      <c r="X7" s="30">
        <v>0</v>
      </c>
      <c r="Y7" s="6">
        <f>EXP(-((X7/$K$42)^$K$43))</f>
        <v>1</v>
      </c>
      <c r="AK7" s="93"/>
      <c r="AL7" s="95">
        <v>309</v>
      </c>
      <c r="AM7" s="6">
        <v>1</v>
      </c>
      <c r="AN7" s="83">
        <f>($AN$10-AM7+0.625)/($AN$10+0.25)</f>
        <v>0.72222222222222221</v>
      </c>
      <c r="AO7" s="88">
        <f t="shared" ref="AO7:AO8" si="9">1-AN7</f>
        <v>0.27777777777777779</v>
      </c>
      <c r="AP7" s="6">
        <f t="shared" ref="AP7:AP8" si="10">LN(LN(1/AN7))</f>
        <v>-1.1226312468780728</v>
      </c>
      <c r="AQ7" s="6">
        <f t="shared" ref="AQ7:AQ8" si="11">LN(AL7)</f>
        <v>5.7333412768977459</v>
      </c>
      <c r="AR7" s="6">
        <f t="shared" ref="AR7:AR8" si="12">1/AN7</f>
        <v>1.3846153846153846</v>
      </c>
      <c r="AS7" s="6">
        <f t="shared" ref="AS7:AS8" si="13">LN(LN(AR7))</f>
        <v>-1.1226312468780728</v>
      </c>
      <c r="AT7" s="6">
        <f t="shared" ref="AT7:AT8" si="14">LN(AL7)</f>
        <v>5.7333412768977459</v>
      </c>
      <c r="AU7" s="6">
        <f t="shared" ref="AU7:AU8" si="15">AT7*AT7</f>
        <v>32.871202197379475</v>
      </c>
      <c r="AV7" s="6">
        <f t="shared" ref="AV7:AV8" si="16">AT7*AS7</f>
        <v>-6.4364280664612386</v>
      </c>
      <c r="AW7" s="6">
        <f>EXP(-((AL7/$AM$39)^$AM$40))</f>
        <v>0.7222222222223259</v>
      </c>
      <c r="AZ7" s="30">
        <v>0</v>
      </c>
      <c r="BA7" s="6">
        <f>EXP(-((AZ7/$AM$39)^$AM$40))</f>
        <v>1</v>
      </c>
      <c r="BM7" s="93"/>
    </row>
    <row r="8" spans="2:65" x14ac:dyDescent="0.25">
      <c r="B8" s="6">
        <f t="shared" si="0"/>
        <v>1774</v>
      </c>
      <c r="C8" s="5">
        <v>41977</v>
      </c>
      <c r="D8" s="6" t="s">
        <v>402</v>
      </c>
      <c r="E8" s="6">
        <v>120</v>
      </c>
      <c r="F8" s="6">
        <f t="shared" ref="F8:F14" si="17">C8-C7</f>
        <v>229</v>
      </c>
      <c r="G8" s="6">
        <v>229</v>
      </c>
      <c r="H8" s="6">
        <v>83</v>
      </c>
      <c r="J8" s="6">
        <v>83</v>
      </c>
      <c r="K8" s="6">
        <v>2</v>
      </c>
      <c r="L8" s="83">
        <f>($L$13-K8+0.625)/($L$13+0.25)</f>
        <v>0.69047619047619047</v>
      </c>
      <c r="M8" s="88">
        <f t="shared" si="1"/>
        <v>0.30952380952380953</v>
      </c>
      <c r="N8" s="6">
        <f t="shared" si="2"/>
        <v>-0.99324254465125028</v>
      </c>
      <c r="O8" s="6">
        <f t="shared" si="3"/>
        <v>4.4188406077965983</v>
      </c>
      <c r="P8" s="6">
        <f t="shared" si="4"/>
        <v>1.4482758620689655</v>
      </c>
      <c r="Q8" s="6">
        <f t="shared" si="5"/>
        <v>-0.99324254465125028</v>
      </c>
      <c r="R8" s="6">
        <f t="shared" si="6"/>
        <v>4.4188406077965983</v>
      </c>
      <c r="S8" s="6">
        <f t="shared" si="7"/>
        <v>19.52615231711221</v>
      </c>
      <c r="T8" s="6">
        <f t="shared" si="8"/>
        <v>-4.3889804896961708</v>
      </c>
      <c r="U8" s="6">
        <f t="shared" ref="U8:U11" si="18">EXP(-((J8/$K$42)^$K$43))</f>
        <v>0.73806178388897248</v>
      </c>
      <c r="X8" s="34">
        <v>10</v>
      </c>
      <c r="Y8" s="6">
        <f t="shared" ref="Y8:Y38" si="19">EXP(-((X8/$K$42)^$K$43))</f>
        <v>0.97543052648539685</v>
      </c>
      <c r="AK8" s="93"/>
      <c r="AL8" s="95">
        <v>377</v>
      </c>
      <c r="AM8" s="6">
        <v>2</v>
      </c>
      <c r="AN8" s="83">
        <f>($AN$10-AM8+0.625)/($AN$10+0.25)</f>
        <v>0.27777777777777779</v>
      </c>
      <c r="AO8" s="88">
        <f t="shared" si="9"/>
        <v>0.72222222222222221</v>
      </c>
      <c r="AP8" s="6">
        <f t="shared" si="10"/>
        <v>0.24758937869430037</v>
      </c>
      <c r="AQ8" s="6">
        <f t="shared" si="11"/>
        <v>5.9322451874480109</v>
      </c>
      <c r="AR8" s="6">
        <f t="shared" si="12"/>
        <v>3.5999999999999996</v>
      </c>
      <c r="AS8" s="6">
        <f t="shared" si="13"/>
        <v>0.24758937869430037</v>
      </c>
      <c r="AT8" s="6">
        <f t="shared" si="14"/>
        <v>5.9322451874480109</v>
      </c>
      <c r="AU8" s="6">
        <f t="shared" si="15"/>
        <v>35.191532964000089</v>
      </c>
      <c r="AV8" s="6">
        <f t="shared" si="16"/>
        <v>1.4687609002225064</v>
      </c>
      <c r="AW8" s="6">
        <f>EXP(-((AL8/$AM$39)^$AM$40))</f>
        <v>0.27777777777769075</v>
      </c>
      <c r="AZ8" s="34">
        <v>10</v>
      </c>
      <c r="BA8" s="6">
        <f t="shared" ref="BA8:BA38" si="20">EXP(-((AZ8/$AM$39)^$AM$40))</f>
        <v>0.99999999998228517</v>
      </c>
      <c r="BM8" s="93"/>
    </row>
    <row r="9" spans="2:65" x14ac:dyDescent="0.25">
      <c r="B9" s="6">
        <f>DAYS360("31-12-2009",C9)</f>
        <v>1828</v>
      </c>
      <c r="C9" s="5">
        <v>42032</v>
      </c>
      <c r="D9" s="6" t="s">
        <v>402</v>
      </c>
      <c r="E9" s="30">
        <v>15</v>
      </c>
      <c r="F9" s="6">
        <f t="shared" si="17"/>
        <v>55</v>
      </c>
      <c r="G9" s="6">
        <v>55</v>
      </c>
      <c r="H9" s="6">
        <v>132</v>
      </c>
      <c r="J9" s="6">
        <v>132</v>
      </c>
      <c r="K9" s="6">
        <v>3</v>
      </c>
      <c r="L9" s="83">
        <f>($L$13-K9+0.625)/($L$13+0.25)</f>
        <v>0.5</v>
      </c>
      <c r="M9" s="88">
        <f t="shared" si="1"/>
        <v>0.5</v>
      </c>
      <c r="N9" s="6">
        <f t="shared" si="2"/>
        <v>-0.36651292058166435</v>
      </c>
      <c r="O9" s="6">
        <f t="shared" si="3"/>
        <v>4.8828019225863706</v>
      </c>
      <c r="P9" s="6">
        <f t="shared" si="4"/>
        <v>2</v>
      </c>
      <c r="Q9" s="6">
        <f t="shared" si="5"/>
        <v>-0.36651292058166435</v>
      </c>
      <c r="R9" s="6">
        <f t="shared" si="6"/>
        <v>4.8828019225863706</v>
      </c>
      <c r="S9" s="6">
        <f t="shared" si="7"/>
        <v>23.841754615213159</v>
      </c>
      <c r="T9" s="6">
        <f t="shared" si="8"/>
        <v>-1.7896099932688965</v>
      </c>
      <c r="U9" s="6">
        <f t="shared" si="18"/>
        <v>0.59114801394097061</v>
      </c>
      <c r="X9" s="34">
        <f>X8+10</f>
        <v>20</v>
      </c>
      <c r="Y9" s="6">
        <f t="shared" si="19"/>
        <v>0.94510712156855003</v>
      </c>
      <c r="AK9" s="93"/>
      <c r="AZ9" s="34">
        <f>AZ8+10</f>
        <v>20</v>
      </c>
      <c r="BA9" s="6">
        <f t="shared" si="20"/>
        <v>0.9999999979006301</v>
      </c>
      <c r="BM9" s="93"/>
    </row>
    <row r="10" spans="2:65" x14ac:dyDescent="0.25">
      <c r="B10" s="6">
        <f>DAYS360("31-12-2009",C10)</f>
        <v>1959</v>
      </c>
      <c r="C10" s="5">
        <v>42164</v>
      </c>
      <c r="D10" s="6" t="s">
        <v>402</v>
      </c>
      <c r="E10" s="30">
        <v>150</v>
      </c>
      <c r="F10" s="6">
        <f t="shared" si="17"/>
        <v>132</v>
      </c>
      <c r="G10" s="6">
        <v>132</v>
      </c>
      <c r="H10" s="6">
        <v>229</v>
      </c>
      <c r="J10" s="6">
        <v>229</v>
      </c>
      <c r="K10" s="6">
        <v>4</v>
      </c>
      <c r="L10" s="83">
        <f>($L$13-K10+0.625)/($L$13+0.25)</f>
        <v>0.30952380952380953</v>
      </c>
      <c r="M10" s="88">
        <f t="shared" si="1"/>
        <v>0.69047619047619047</v>
      </c>
      <c r="N10" s="6">
        <f t="shared" si="2"/>
        <v>0.15932605940720618</v>
      </c>
      <c r="O10" s="6">
        <f t="shared" si="3"/>
        <v>5.43372200355424</v>
      </c>
      <c r="P10" s="6">
        <f t="shared" si="4"/>
        <v>3.2307692307692308</v>
      </c>
      <c r="Q10" s="6">
        <f t="shared" si="5"/>
        <v>0.15932605940720618</v>
      </c>
      <c r="R10" s="6">
        <f t="shared" si="6"/>
        <v>5.43372200355424</v>
      </c>
      <c r="S10" s="6">
        <f t="shared" si="7"/>
        <v>29.525334811909502</v>
      </c>
      <c r="T10" s="6">
        <f t="shared" si="8"/>
        <v>0.86573351474052618</v>
      </c>
      <c r="U10" s="6">
        <f t="shared" si="18"/>
        <v>0.36480762778831938</v>
      </c>
      <c r="X10" s="34">
        <f t="shared" ref="X10:X38" si="21">X9+10</f>
        <v>30</v>
      </c>
      <c r="Y10" s="6">
        <f t="shared" si="19"/>
        <v>0.91284864790786158</v>
      </c>
      <c r="AK10" s="93"/>
      <c r="AM10" s="80" t="s">
        <v>285</v>
      </c>
      <c r="AN10" s="81">
        <f>COUNT(AM7:AM8)</f>
        <v>2</v>
      </c>
      <c r="AO10" s="114"/>
      <c r="AP10" s="114"/>
      <c r="AR10" s="80" t="s">
        <v>325</v>
      </c>
      <c r="AS10">
        <f>SUM(AS7:AS8)</f>
        <v>-0.87504186818377239</v>
      </c>
      <c r="AT10">
        <f>SUM(AT7:AT8)</f>
        <v>11.665586464345758</v>
      </c>
      <c r="AU10">
        <f>SUM(AU7:AU8)</f>
        <v>68.062735161379564</v>
      </c>
      <c r="AV10">
        <f>SUM(AV7:AV8)</f>
        <v>-4.9676671662387317</v>
      </c>
      <c r="AW10" s="114"/>
      <c r="AZ10" s="34">
        <f t="shared" ref="AZ10:AZ38" si="22">AZ9+10</f>
        <v>30</v>
      </c>
      <c r="BA10" s="6">
        <f t="shared" si="20"/>
        <v>0.99999996571086858</v>
      </c>
      <c r="BM10" s="93"/>
    </row>
    <row r="11" spans="2:65" x14ac:dyDescent="0.25">
      <c r="B11" s="6">
        <f>DAYS360("31-12-2009",C11)</f>
        <v>2040</v>
      </c>
      <c r="C11" s="5">
        <v>42247</v>
      </c>
      <c r="D11" s="6" t="s">
        <v>402</v>
      </c>
      <c r="E11" s="30">
        <v>120</v>
      </c>
      <c r="F11" s="6">
        <f t="shared" si="17"/>
        <v>83</v>
      </c>
      <c r="G11" s="6">
        <v>83</v>
      </c>
      <c r="H11" s="6">
        <v>527</v>
      </c>
      <c r="J11" s="6">
        <v>527</v>
      </c>
      <c r="K11" s="6">
        <v>5</v>
      </c>
      <c r="L11" s="83">
        <f>($L$13-K11+0.625)/($L$13+0.25)</f>
        <v>0.11904761904761904</v>
      </c>
      <c r="M11" s="88">
        <f t="shared" si="1"/>
        <v>0.88095238095238093</v>
      </c>
      <c r="N11" s="6">
        <f t="shared" si="2"/>
        <v>0.75529144987959329</v>
      </c>
      <c r="O11" s="6">
        <f t="shared" si="3"/>
        <v>6.2672005485413624</v>
      </c>
      <c r="P11" s="6">
        <f t="shared" si="4"/>
        <v>8.4</v>
      </c>
      <c r="Q11" s="6">
        <f t="shared" si="5"/>
        <v>0.75529144987959329</v>
      </c>
      <c r="R11" s="6">
        <f t="shared" si="6"/>
        <v>6.2672005485413624</v>
      </c>
      <c r="S11" s="6">
        <f t="shared" si="7"/>
        <v>39.277802715637151</v>
      </c>
      <c r="T11" s="6">
        <f t="shared" si="8"/>
        <v>4.7335629889939881</v>
      </c>
      <c r="U11" s="6">
        <f t="shared" si="18"/>
        <v>6.709935814118341E-2</v>
      </c>
      <c r="X11" s="34">
        <f t="shared" si="21"/>
        <v>40</v>
      </c>
      <c r="Y11" s="6">
        <f t="shared" si="19"/>
        <v>0.87973944323544306</v>
      </c>
      <c r="AK11" s="93"/>
      <c r="AZ11" s="34">
        <f t="shared" si="22"/>
        <v>40</v>
      </c>
      <c r="BA11" s="6">
        <f t="shared" si="20"/>
        <v>0.9999997512050588</v>
      </c>
      <c r="BM11" s="93"/>
    </row>
    <row r="12" spans="2:65" x14ac:dyDescent="0.25">
      <c r="B12" s="6">
        <f>DAYS360($B$5,C12)</f>
        <v>39725</v>
      </c>
      <c r="C12" s="5">
        <v>40303</v>
      </c>
      <c r="D12" s="6" t="s">
        <v>417</v>
      </c>
      <c r="E12" s="34">
        <v>30</v>
      </c>
      <c r="F12" s="79" t="s">
        <v>279</v>
      </c>
      <c r="G12" s="79" t="s">
        <v>279</v>
      </c>
      <c r="H12" s="79" t="s">
        <v>279</v>
      </c>
      <c r="X12" s="34">
        <f t="shared" si="21"/>
        <v>50</v>
      </c>
      <c r="Y12" s="6">
        <f t="shared" si="19"/>
        <v>0.84635671394540901</v>
      </c>
      <c r="AL12" t="s">
        <v>294</v>
      </c>
      <c r="AZ12" s="34">
        <f t="shared" si="22"/>
        <v>50</v>
      </c>
      <c r="BA12" s="6">
        <f t="shared" si="20"/>
        <v>0.99999884271430772</v>
      </c>
    </row>
    <row r="13" spans="2:65" x14ac:dyDescent="0.25">
      <c r="B13" s="6">
        <f>DAYS360($B$5,C13)</f>
        <v>40097</v>
      </c>
      <c r="C13" s="5">
        <v>40680</v>
      </c>
      <c r="D13" s="6" t="s">
        <v>417</v>
      </c>
      <c r="E13" s="33">
        <v>120</v>
      </c>
      <c r="F13" s="6">
        <f t="shared" si="17"/>
        <v>377</v>
      </c>
      <c r="G13" s="6">
        <v>377</v>
      </c>
      <c r="H13" s="6">
        <v>309</v>
      </c>
      <c r="K13" s="80" t="s">
        <v>285</v>
      </c>
      <c r="L13" s="81">
        <f>COUNT(K7:K11)</f>
        <v>5</v>
      </c>
      <c r="M13" s="114"/>
      <c r="N13" s="114"/>
      <c r="O13"/>
      <c r="P13" s="80" t="s">
        <v>325</v>
      </c>
      <c r="Q13">
        <f>SUM(Q7:Q11)</f>
        <v>-2.510663135828417</v>
      </c>
      <c r="R13">
        <f>SUM(R7:R11)</f>
        <v>25.009898267711044</v>
      </c>
      <c r="S13">
        <f>SUM(S7:S11)</f>
        <v>128.22976371733745</v>
      </c>
      <c r="T13">
        <f>SUM(T7:T11)</f>
        <v>-8.8565415775061709</v>
      </c>
      <c r="U13" s="114"/>
      <c r="X13" s="34">
        <f t="shared" si="21"/>
        <v>60</v>
      </c>
      <c r="Y13" s="6">
        <f t="shared" si="19"/>
        <v>0.81306410268649287</v>
      </c>
      <c r="AK13" s="114"/>
      <c r="AZ13" s="34">
        <f t="shared" si="22"/>
        <v>60</v>
      </c>
      <c r="BA13" s="6">
        <f t="shared" si="20"/>
        <v>0.99999593642532103</v>
      </c>
      <c r="BM13" s="114"/>
    </row>
    <row r="14" spans="2:65" x14ac:dyDescent="0.25">
      <c r="B14" s="6">
        <f>DAYS360($B$5,C14)</f>
        <v>40401</v>
      </c>
      <c r="C14" s="5">
        <v>40989</v>
      </c>
      <c r="D14" s="6" t="s">
        <v>417</v>
      </c>
      <c r="E14" s="33">
        <v>60</v>
      </c>
      <c r="F14" s="6">
        <f t="shared" si="17"/>
        <v>309</v>
      </c>
      <c r="G14" s="6">
        <v>309</v>
      </c>
      <c r="H14" s="6">
        <v>377</v>
      </c>
      <c r="X14" s="34">
        <f t="shared" si="21"/>
        <v>70</v>
      </c>
      <c r="Y14" s="6">
        <f t="shared" si="19"/>
        <v>0.78011011125183394</v>
      </c>
      <c r="AL14" t="s">
        <v>288</v>
      </c>
      <c r="AZ14" s="34">
        <f t="shared" si="22"/>
        <v>70</v>
      </c>
      <c r="BA14" s="6">
        <f t="shared" si="20"/>
        <v>0.99998824849617696</v>
      </c>
    </row>
    <row r="15" spans="2:65" x14ac:dyDescent="0.25">
      <c r="J15" t="s">
        <v>294</v>
      </c>
      <c r="M15"/>
      <c r="N15"/>
      <c r="O15"/>
      <c r="P15"/>
      <c r="Q15"/>
      <c r="R15"/>
      <c r="S15"/>
      <c r="T15"/>
      <c r="U15"/>
      <c r="X15" s="34">
        <f t="shared" si="21"/>
        <v>80</v>
      </c>
      <c r="Y15" s="6">
        <f t="shared" si="19"/>
        <v>0.74767217098040184</v>
      </c>
      <c r="AZ15" s="34">
        <f t="shared" si="22"/>
        <v>80</v>
      </c>
      <c r="BA15" s="6">
        <f t="shared" si="20"/>
        <v>0.99997051590282438</v>
      </c>
    </row>
    <row r="16" spans="2:65" x14ac:dyDescent="0.25">
      <c r="M16"/>
      <c r="N16"/>
      <c r="O16"/>
      <c r="P16"/>
      <c r="Q16"/>
      <c r="R16"/>
      <c r="S16"/>
      <c r="T16"/>
      <c r="U16"/>
      <c r="X16" s="34">
        <f t="shared" si="21"/>
        <v>90</v>
      </c>
      <c r="Y16" s="6">
        <f t="shared" si="19"/>
        <v>0.71587992301904957</v>
      </c>
      <c r="AL16" t="s">
        <v>289</v>
      </c>
      <c r="AZ16" s="34">
        <f t="shared" si="22"/>
        <v>90</v>
      </c>
      <c r="BA16" s="6">
        <f t="shared" si="20"/>
        <v>0.99993363146304737</v>
      </c>
    </row>
    <row r="17" spans="10:53" x14ac:dyDescent="0.25">
      <c r="J17" t="s">
        <v>288</v>
      </c>
      <c r="M17"/>
      <c r="N17"/>
      <c r="O17"/>
      <c r="P17"/>
      <c r="Q17"/>
      <c r="R17"/>
      <c r="S17"/>
      <c r="T17"/>
      <c r="U17"/>
      <c r="X17" s="34">
        <f t="shared" si="21"/>
        <v>100</v>
      </c>
      <c r="Y17" s="6">
        <f t="shared" si="19"/>
        <v>0.684828944943222</v>
      </c>
      <c r="AZ17" s="34">
        <f t="shared" si="22"/>
        <v>100</v>
      </c>
      <c r="BA17" s="6">
        <f t="shared" si="20"/>
        <v>0.99986286014347658</v>
      </c>
    </row>
    <row r="18" spans="10:53" x14ac:dyDescent="0.25">
      <c r="M18"/>
      <c r="N18"/>
      <c r="O18"/>
      <c r="P18"/>
      <c r="Q18"/>
      <c r="R18"/>
      <c r="S18"/>
      <c r="T18"/>
      <c r="U18"/>
      <c r="X18" s="34">
        <f t="shared" si="21"/>
        <v>110</v>
      </c>
      <c r="Y18" s="6">
        <f t="shared" si="19"/>
        <v>0.65458951028143786</v>
      </c>
      <c r="AL18" t="s">
        <v>290</v>
      </c>
      <c r="AZ18" s="34">
        <f t="shared" si="22"/>
        <v>110</v>
      </c>
      <c r="BA18" s="6">
        <f t="shared" si="20"/>
        <v>0.99973558606225743</v>
      </c>
    </row>
    <row r="19" spans="10:53" x14ac:dyDescent="0.25">
      <c r="J19" t="s">
        <v>289</v>
      </c>
      <c r="M19"/>
      <c r="N19"/>
      <c r="O19"/>
      <c r="P19"/>
      <c r="Q19"/>
      <c r="R19"/>
      <c r="S19"/>
      <c r="T19"/>
      <c r="U19"/>
      <c r="X19" s="34">
        <f t="shared" si="21"/>
        <v>120</v>
      </c>
      <c r="Y19" s="6">
        <f t="shared" si="19"/>
        <v>0.62521252205058786</v>
      </c>
      <c r="AL19" t="s">
        <v>291</v>
      </c>
      <c r="AZ19" s="34">
        <f t="shared" si="22"/>
        <v>120</v>
      </c>
      <c r="BA19" s="6">
        <f t="shared" si="20"/>
        <v>0.99951854334218593</v>
      </c>
    </row>
    <row r="20" spans="10:53" x14ac:dyDescent="0.25">
      <c r="M20"/>
      <c r="N20"/>
      <c r="O20"/>
      <c r="P20"/>
      <c r="Q20"/>
      <c r="R20"/>
      <c r="S20"/>
      <c r="T20"/>
      <c r="U20"/>
      <c r="X20" s="34">
        <f t="shared" si="21"/>
        <v>130</v>
      </c>
      <c r="Y20" s="6">
        <f t="shared" si="19"/>
        <v>0.5967337231484473</v>
      </c>
      <c r="AZ20" s="34">
        <f t="shared" si="22"/>
        <v>130</v>
      </c>
      <c r="BA20" s="6">
        <f t="shared" si="20"/>
        <v>0.99916449037557709</v>
      </c>
    </row>
    <row r="21" spans="10:53" x14ac:dyDescent="0.25">
      <c r="J21" t="s">
        <v>290</v>
      </c>
      <c r="M21"/>
      <c r="N21"/>
      <c r="O21"/>
      <c r="P21"/>
      <c r="Q21"/>
      <c r="R21"/>
      <c r="S21"/>
      <c r="T21"/>
      <c r="U21"/>
      <c r="X21" s="34">
        <f t="shared" si="21"/>
        <v>140</v>
      </c>
      <c r="Y21" s="6">
        <f t="shared" si="19"/>
        <v>0.56917679641866059</v>
      </c>
      <c r="AL21" s="106" t="s">
        <v>315</v>
      </c>
      <c r="AZ21" s="34">
        <f t="shared" si="22"/>
        <v>140</v>
      </c>
      <c r="BA21" s="6">
        <f t="shared" si="20"/>
        <v>0.99860829798771367</v>
      </c>
    </row>
    <row r="22" spans="10:53" x14ac:dyDescent="0.25">
      <c r="J22" t="s">
        <v>291</v>
      </c>
      <c r="M22"/>
      <c r="N22"/>
      <c r="O22"/>
      <c r="P22"/>
      <c r="Q22"/>
      <c r="R22"/>
      <c r="S22"/>
      <c r="T22"/>
      <c r="U22"/>
      <c r="X22" s="34">
        <f t="shared" si="21"/>
        <v>150</v>
      </c>
      <c r="Y22" s="6">
        <f t="shared" si="19"/>
        <v>0.5425557161896849</v>
      </c>
      <c r="AZ22" s="34">
        <f t="shared" si="22"/>
        <v>150</v>
      </c>
      <c r="BA22" s="6">
        <f t="shared" si="20"/>
        <v>0.99776244011829429</v>
      </c>
    </row>
    <row r="23" spans="10:53" x14ac:dyDescent="0.25">
      <c r="M23"/>
      <c r="N23"/>
      <c r="O23"/>
      <c r="P23"/>
      <c r="Q23"/>
      <c r="R23"/>
      <c r="S23"/>
      <c r="T23"/>
      <c r="U23"/>
      <c r="X23" s="34">
        <f t="shared" si="21"/>
        <v>160</v>
      </c>
      <c r="Y23" s="6">
        <f t="shared" si="19"/>
        <v>0.51687657579817614</v>
      </c>
      <c r="AL23" t="s">
        <v>316</v>
      </c>
      <c r="AZ23" s="34">
        <f t="shared" si="22"/>
        <v>160</v>
      </c>
      <c r="BA23" s="6">
        <f t="shared" si="20"/>
        <v>0.99651190471784001</v>
      </c>
    </row>
    <row r="24" spans="10:53" x14ac:dyDescent="0.25">
      <c r="J24" s="106" t="s">
        <v>315</v>
      </c>
      <c r="M24"/>
      <c r="N24"/>
      <c r="O24"/>
      <c r="P24"/>
      <c r="Q24"/>
      <c r="R24"/>
      <c r="S24"/>
      <c r="T24"/>
      <c r="U24"/>
      <c r="X24" s="34">
        <f t="shared" si="21"/>
        <v>170</v>
      </c>
      <c r="Y24" s="6">
        <f t="shared" si="19"/>
        <v>0.49213903635984263</v>
      </c>
      <c r="AZ24" s="34">
        <f t="shared" si="22"/>
        <v>170</v>
      </c>
      <c r="BA24" s="6">
        <f t="shared" si="20"/>
        <v>0.99470858756168756</v>
      </c>
    </row>
    <row r="25" spans="10:53" x14ac:dyDescent="0.25">
      <c r="M25"/>
      <c r="N25"/>
      <c r="O25"/>
      <c r="P25"/>
      <c r="Q25"/>
      <c r="R25"/>
      <c r="S25"/>
      <c r="T25"/>
      <c r="U25"/>
      <c r="X25" s="34">
        <f t="shared" si="21"/>
        <v>180</v>
      </c>
      <c r="Y25" s="6">
        <f t="shared" si="19"/>
        <v>0.46833749419235482</v>
      </c>
      <c r="AM25" t="s">
        <v>317</v>
      </c>
      <c r="AZ25" s="34">
        <f t="shared" si="22"/>
        <v>180</v>
      </c>
      <c r="BA25" s="6">
        <f t="shared" si="20"/>
        <v>0.99216529895768002</v>
      </c>
    </row>
    <row r="26" spans="10:53" x14ac:dyDescent="0.25">
      <c r="J26" t="s">
        <v>316</v>
      </c>
      <c r="M26"/>
      <c r="N26"/>
      <c r="O26"/>
      <c r="P26"/>
      <c r="Q26"/>
      <c r="R26"/>
      <c r="S26"/>
      <c r="T26"/>
      <c r="U26"/>
      <c r="X26" s="34">
        <f t="shared" si="21"/>
        <v>190</v>
      </c>
      <c r="Y26" s="6">
        <f t="shared" si="19"/>
        <v>0.44546203425623809</v>
      </c>
      <c r="AL26" t="s">
        <v>318</v>
      </c>
      <c r="AM26" s="107">
        <f>AU10</f>
        <v>68.062735161379564</v>
      </c>
      <c r="AN26" s="107">
        <f>AT10</f>
        <v>11.665586464345758</v>
      </c>
      <c r="AO26" s="108" t="s">
        <v>319</v>
      </c>
      <c r="AP26" s="107">
        <f>AV10</f>
        <v>-4.9676671662387317</v>
      </c>
      <c r="AZ26" s="34">
        <f t="shared" si="22"/>
        <v>190</v>
      </c>
      <c r="BA26" s="6">
        <f t="shared" si="20"/>
        <v>0.98864961048169953</v>
      </c>
    </row>
    <row r="27" spans="10:53" x14ac:dyDescent="0.25">
      <c r="M27"/>
      <c r="N27"/>
      <c r="O27"/>
      <c r="P27"/>
      <c r="Q27"/>
      <c r="R27"/>
      <c r="S27"/>
      <c r="T27"/>
      <c r="U27"/>
      <c r="X27" s="34">
        <f t="shared" si="21"/>
        <v>200</v>
      </c>
      <c r="Y27" s="6">
        <f t="shared" si="19"/>
        <v>0.4234992174858857</v>
      </c>
      <c r="AM27" s="107">
        <f>AT10</f>
        <v>11.665586464345758</v>
      </c>
      <c r="AN27" s="107">
        <f>AN10</f>
        <v>2</v>
      </c>
      <c r="AP27" s="107">
        <f>AS10</f>
        <v>-0.87504186818377239</v>
      </c>
      <c r="AQ27" s="16"/>
      <c r="AZ27" s="34">
        <f t="shared" si="22"/>
        <v>200</v>
      </c>
      <c r="BA27" s="6">
        <f t="shared" si="20"/>
        <v>0.98387790436842604</v>
      </c>
    </row>
    <row r="28" spans="10:53" x14ac:dyDescent="0.25">
      <c r="K28" t="s">
        <v>317</v>
      </c>
      <c r="M28"/>
      <c r="N28"/>
      <c r="O28"/>
      <c r="P28"/>
      <c r="Q28"/>
      <c r="R28"/>
      <c r="S28"/>
      <c r="T28"/>
      <c r="U28"/>
      <c r="X28" s="34">
        <f t="shared" si="21"/>
        <v>210</v>
      </c>
      <c r="Y28" s="6">
        <f t="shared" si="19"/>
        <v>0.40243273685687087</v>
      </c>
      <c r="AQ28" s="16"/>
      <c r="AZ28" s="34">
        <f t="shared" si="22"/>
        <v>210</v>
      </c>
      <c r="BA28" s="6">
        <f t="shared" si="20"/>
        <v>0.97751017023024833</v>
      </c>
    </row>
    <row r="29" spans="10:53" x14ac:dyDescent="0.25">
      <c r="J29" t="s">
        <v>318</v>
      </c>
      <c r="K29" s="107">
        <f>S13</f>
        <v>128.22976371733745</v>
      </c>
      <c r="L29" s="107">
        <f>R13</f>
        <v>25.009898267711044</v>
      </c>
      <c r="M29" s="108" t="s">
        <v>319</v>
      </c>
      <c r="N29" s="107">
        <f>T13</f>
        <v>-8.8565415775061709</v>
      </c>
      <c r="O29"/>
      <c r="P29"/>
      <c r="Q29"/>
      <c r="R29"/>
      <c r="S29"/>
      <c r="T29"/>
      <c r="U29"/>
      <c r="X29" s="34">
        <f>X28+10</f>
        <v>220</v>
      </c>
      <c r="Y29" s="6">
        <f t="shared" si="19"/>
        <v>0.38224396810342537</v>
      </c>
      <c r="AL29" t="s">
        <v>322</v>
      </c>
      <c r="AQ29" s="16"/>
      <c r="AZ29" s="34">
        <f>AZ28+10</f>
        <v>220</v>
      </c>
      <c r="BA29" s="6">
        <f t="shared" si="20"/>
        <v>0.9691463283032139</v>
      </c>
    </row>
    <row r="30" spans="10:53" x14ac:dyDescent="0.25">
      <c r="K30" s="107">
        <f>R13</f>
        <v>25.009898267711044</v>
      </c>
      <c r="L30" s="107">
        <f>L13</f>
        <v>5</v>
      </c>
      <c r="M30"/>
      <c r="N30" s="107">
        <f>Q13</f>
        <v>-2.510663135828417</v>
      </c>
      <c r="O30" s="16"/>
      <c r="P30"/>
      <c r="Q30"/>
      <c r="R30"/>
      <c r="S30"/>
      <c r="T30"/>
      <c r="U30"/>
      <c r="X30" s="34">
        <f t="shared" si="21"/>
        <v>230</v>
      </c>
      <c r="Y30" s="6">
        <f t="shared" si="19"/>
        <v>0.36291243473143298</v>
      </c>
      <c r="AQ30" s="16"/>
      <c r="AZ30" s="34">
        <f t="shared" si="22"/>
        <v>230</v>
      </c>
      <c r="BA30" s="6">
        <f t="shared" si="20"/>
        <v>0.95832514556293014</v>
      </c>
    </row>
    <row r="31" spans="10:53" x14ac:dyDescent="0.25">
      <c r="M31"/>
      <c r="N31"/>
      <c r="O31" s="16"/>
      <c r="P31"/>
      <c r="Q31"/>
      <c r="R31"/>
      <c r="S31"/>
      <c r="T31"/>
      <c r="U31"/>
      <c r="X31" s="34">
        <f t="shared" si="21"/>
        <v>240</v>
      </c>
      <c r="Y31" s="6">
        <f t="shared" si="19"/>
        <v>0.34441620248050431</v>
      </c>
      <c r="AL31" t="s">
        <v>318</v>
      </c>
      <c r="AM31" s="107">
        <f t="array" ref="AM31:AN32">MINVERSE(AM26:AN27)</f>
        <v>50.55258316859976</v>
      </c>
      <c r="AN31" s="107">
        <v>-294.86276497466525</v>
      </c>
      <c r="AZ31" s="34">
        <f t="shared" si="22"/>
        <v>240</v>
      </c>
      <c r="BA31" s="6">
        <f t="shared" si="20"/>
        <v>0.94452713972458979</v>
      </c>
    </row>
    <row r="32" spans="10:53" x14ac:dyDescent="0.25">
      <c r="J32" t="s">
        <v>322</v>
      </c>
      <c r="M32"/>
      <c r="N32"/>
      <c r="O32" s="16"/>
      <c r="P32"/>
      <c r="Q32"/>
      <c r="R32"/>
      <c r="S32"/>
      <c r="T32"/>
      <c r="U32"/>
      <c r="X32" s="34">
        <f t="shared" si="21"/>
        <v>250</v>
      </c>
      <c r="Y32" s="6">
        <f t="shared" si="19"/>
        <v>0.32673221510859513</v>
      </c>
      <c r="AM32" s="107">
        <v>-294.86276497466525</v>
      </c>
      <c r="AN32" s="107">
        <v>1720.3735399640098</v>
      </c>
      <c r="AZ32" s="34">
        <f t="shared" si="22"/>
        <v>250</v>
      </c>
      <c r="BA32" s="6">
        <f t="shared" si="20"/>
        <v>0.92718320628969031</v>
      </c>
    </row>
    <row r="33" spans="10:53" x14ac:dyDescent="0.25">
      <c r="M33"/>
      <c r="N33"/>
      <c r="O33" s="16"/>
      <c r="P33"/>
      <c r="Q33"/>
      <c r="R33"/>
      <c r="S33"/>
      <c r="T33"/>
      <c r="U33"/>
      <c r="X33" s="34">
        <f t="shared" si="21"/>
        <v>260</v>
      </c>
      <c r="Y33" s="6">
        <f t="shared" si="19"/>
        <v>0.30983658093559291</v>
      </c>
      <c r="AZ33" s="34">
        <f t="shared" si="22"/>
        <v>260</v>
      </c>
      <c r="BA33" s="6">
        <f t="shared" si="20"/>
        <v>0.90569099650896934</v>
      </c>
    </row>
    <row r="34" spans="10:53" x14ac:dyDescent="0.25">
      <c r="J34" t="s">
        <v>318</v>
      </c>
      <c r="K34" s="107">
        <f t="array" ref="K34:L35">MINVERSE(K29:L30)</f>
        <v>0.31941111373065473</v>
      </c>
      <c r="L34" s="107">
        <v>-1.5976878919959916</v>
      </c>
      <c r="M34"/>
      <c r="N34"/>
      <c r="O34"/>
      <c r="P34"/>
      <c r="Q34"/>
      <c r="R34"/>
      <c r="S34"/>
      <c r="T34"/>
      <c r="U34"/>
      <c r="X34" s="34">
        <f t="shared" si="21"/>
        <v>270</v>
      </c>
      <c r="Y34" s="6">
        <f t="shared" si="19"/>
        <v>0.29370481774267393</v>
      </c>
      <c r="AL34" t="s">
        <v>323</v>
      </c>
      <c r="AZ34" s="34">
        <f t="shared" si="22"/>
        <v>270</v>
      </c>
      <c r="BA34" s="6">
        <f t="shared" si="20"/>
        <v>0.87944122068631714</v>
      </c>
    </row>
    <row r="35" spans="10:53" x14ac:dyDescent="0.25">
      <c r="K35" s="107">
        <v>-1.5976878919959916</v>
      </c>
      <c r="L35" s="107">
        <v>8.1916023284746924</v>
      </c>
      <c r="M35"/>
      <c r="N35"/>
      <c r="O35"/>
      <c r="P35"/>
      <c r="Q35"/>
      <c r="R35"/>
      <c r="S35"/>
      <c r="T35"/>
      <c r="U35"/>
      <c r="X35" s="34">
        <f>X34+10</f>
        <v>280</v>
      </c>
      <c r="Y35" s="6">
        <f t="shared" si="19"/>
        <v>0.27831206221511384</v>
      </c>
      <c r="AZ35" s="34">
        <f>AZ34+10</f>
        <v>280</v>
      </c>
      <c r="BA35" s="6">
        <f t="shared" si="20"/>
        <v>0.84785590428188362</v>
      </c>
    </row>
    <row r="36" spans="10:53" x14ac:dyDescent="0.25">
      <c r="M36"/>
      <c r="N36"/>
      <c r="O36"/>
      <c r="P36"/>
      <c r="Q36"/>
      <c r="R36"/>
      <c r="S36"/>
      <c r="T36"/>
      <c r="U36"/>
      <c r="X36" s="34">
        <f t="shared" si="21"/>
        <v>290</v>
      </c>
      <c r="Y36" s="6">
        <f t="shared" si="19"/>
        <v>0.26363324902212654</v>
      </c>
      <c r="AL36" t="s">
        <v>318</v>
      </c>
      <c r="AM36" s="107">
        <f t="array" ref="AM36:AM37">MMULT(AM31:AN32,AP26:AP27)</f>
        <v>6.8888571460579158</v>
      </c>
      <c r="AZ36" s="34">
        <f t="shared" si="22"/>
        <v>290</v>
      </c>
      <c r="BA36" s="6">
        <f t="shared" si="20"/>
        <v>0.81043998694448005</v>
      </c>
    </row>
    <row r="37" spans="10:53" x14ac:dyDescent="0.25">
      <c r="J37" t="s">
        <v>323</v>
      </c>
      <c r="M37"/>
      <c r="N37"/>
      <c r="O37"/>
      <c r="P37"/>
      <c r="Q37"/>
      <c r="R37"/>
      <c r="S37"/>
      <c r="T37"/>
      <c r="U37"/>
      <c r="X37" s="34">
        <f t="shared" si="21"/>
        <v>300</v>
      </c>
      <c r="Y37" s="6">
        <f t="shared" si="19"/>
        <v>0.24964326376705351</v>
      </c>
      <c r="AM37" s="107">
        <v>-40.618800273024362</v>
      </c>
      <c r="AZ37" s="34">
        <f t="shared" si="22"/>
        <v>300</v>
      </c>
      <c r="BA37" s="6">
        <f t="shared" si="20"/>
        <v>0.76684629760097467</v>
      </c>
    </row>
    <row r="38" spans="10:53" x14ac:dyDescent="0.25">
      <c r="M38"/>
      <c r="N38"/>
      <c r="O38"/>
      <c r="P38"/>
      <c r="Q38"/>
      <c r="R38"/>
      <c r="S38"/>
      <c r="T38"/>
      <c r="U38"/>
      <c r="X38" s="34">
        <f t="shared" si="21"/>
        <v>310</v>
      </c>
      <c r="Y38" s="6">
        <f t="shared" si="19"/>
        <v>0.23631707335686813</v>
      </c>
      <c r="AZ38" s="34">
        <f t="shared" si="22"/>
        <v>310</v>
      </c>
      <c r="BA38" s="6">
        <f t="shared" si="20"/>
        <v>0.71695164825654345</v>
      </c>
    </row>
    <row r="39" spans="10:53" x14ac:dyDescent="0.25">
      <c r="J39" t="s">
        <v>318</v>
      </c>
      <c r="K39" s="107">
        <f t="array" ref="K39:K40">MMULT(K34:L35,N29:N30)</f>
        <v>1.182378283920654</v>
      </c>
      <c r="M39"/>
      <c r="N39"/>
      <c r="O39"/>
      <c r="P39"/>
      <c r="Q39"/>
      <c r="R39"/>
      <c r="S39"/>
      <c r="T39"/>
      <c r="U39"/>
      <c r="AL39" s="2" t="s">
        <v>320</v>
      </c>
      <c r="AM39" s="109">
        <f>EXP(-AM37/AM36)</f>
        <v>363.69100805258796</v>
      </c>
    </row>
    <row r="40" spans="10:53" x14ac:dyDescent="0.25">
      <c r="K40" s="107">
        <v>-6.4163647461269449</v>
      </c>
      <c r="M40"/>
      <c r="N40"/>
      <c r="O40"/>
      <c r="P40"/>
      <c r="Q40"/>
      <c r="R40"/>
      <c r="S40"/>
      <c r="T40"/>
      <c r="U40"/>
      <c r="X40" s="16" t="s">
        <v>324</v>
      </c>
      <c r="AL40" s="2" t="s">
        <v>321</v>
      </c>
      <c r="AM40" s="109">
        <f>AM36</f>
        <v>6.8888571460579158</v>
      </c>
      <c r="AZ40" s="16" t="s">
        <v>324</v>
      </c>
    </row>
    <row r="41" spans="10:53" x14ac:dyDescent="0.25">
      <c r="M41"/>
      <c r="N41"/>
      <c r="O41"/>
      <c r="P41"/>
      <c r="Q41"/>
      <c r="R41"/>
      <c r="S41"/>
      <c r="T41"/>
      <c r="U41"/>
      <c r="AO41" s="60"/>
      <c r="AP41" s="60"/>
      <c r="AQ41" s="60"/>
      <c r="AR41" s="60"/>
      <c r="AS41" s="60"/>
      <c r="AT41" s="60"/>
      <c r="AU41" s="60"/>
      <c r="AV41" s="60"/>
      <c r="AW41" s="60"/>
    </row>
    <row r="42" spans="10:53" x14ac:dyDescent="0.25">
      <c r="J42" s="2" t="s">
        <v>320</v>
      </c>
      <c r="K42" s="109">
        <f>EXP(-K40/K39)</f>
        <v>227.38846115709256</v>
      </c>
      <c r="M42"/>
      <c r="N42"/>
      <c r="O42"/>
      <c r="P42"/>
      <c r="Q42"/>
      <c r="R42"/>
      <c r="S42"/>
      <c r="T42"/>
      <c r="U42"/>
      <c r="AO42" s="60"/>
      <c r="AP42" s="60"/>
      <c r="AQ42" s="60"/>
      <c r="AR42" s="60"/>
      <c r="AS42" s="60"/>
      <c r="AT42" s="60"/>
      <c r="AU42" s="60"/>
      <c r="AV42" s="60"/>
      <c r="AW42" s="60"/>
    </row>
    <row r="43" spans="10:53" x14ac:dyDescent="0.25">
      <c r="J43" s="2" t="s">
        <v>321</v>
      </c>
      <c r="K43" s="109">
        <f>K39</f>
        <v>1.182378283920654</v>
      </c>
      <c r="M43"/>
      <c r="N43"/>
      <c r="O43"/>
      <c r="P43"/>
      <c r="Q43"/>
      <c r="R43"/>
      <c r="S43"/>
      <c r="T43"/>
      <c r="U43"/>
      <c r="AO43" s="60"/>
      <c r="AP43" s="60"/>
      <c r="AQ43" s="60"/>
      <c r="AR43" s="60"/>
      <c r="AS43" s="60"/>
      <c r="AT43" s="60"/>
      <c r="AU43" s="60"/>
      <c r="AV43" s="60"/>
      <c r="AW43" s="60"/>
    </row>
    <row r="47" spans="10:53" x14ac:dyDescent="0.25">
      <c r="X47" s="16"/>
      <c r="AZ47" s="16"/>
    </row>
    <row r="48" spans="10:53" x14ac:dyDescent="0.25">
      <c r="X48" s="16"/>
      <c r="AZ48" s="16"/>
    </row>
    <row r="49" spans="24:52" x14ac:dyDescent="0.25">
      <c r="X49" s="16"/>
      <c r="AZ49" s="16"/>
    </row>
    <row r="50" spans="24:52" x14ac:dyDescent="0.25">
      <c r="X50" s="16"/>
      <c r="AZ50" s="16"/>
    </row>
    <row r="51" spans="24:52" x14ac:dyDescent="0.25">
      <c r="X51" s="16"/>
      <c r="AZ51" s="16"/>
    </row>
    <row r="52" spans="24:52" x14ac:dyDescent="0.25">
      <c r="X52" s="16"/>
      <c r="AZ52" s="16"/>
    </row>
    <row r="53" spans="24:52" x14ac:dyDescent="0.25">
      <c r="X53" s="17"/>
      <c r="AZ53" s="17"/>
    </row>
    <row r="54" spans="24:52" x14ac:dyDescent="0.25">
      <c r="X54" s="16"/>
      <c r="AZ54" s="16"/>
    </row>
    <row r="55" spans="24:52" x14ac:dyDescent="0.25">
      <c r="X55" s="16"/>
      <c r="AZ55" s="16"/>
    </row>
    <row r="56" spans="24:52" x14ac:dyDescent="0.25">
      <c r="X56" s="16"/>
      <c r="AZ56" s="16"/>
    </row>
    <row r="57" spans="24:52" x14ac:dyDescent="0.25">
      <c r="X57" s="16"/>
      <c r="AZ57" s="16"/>
    </row>
    <row r="58" spans="24:52" x14ac:dyDescent="0.25">
      <c r="X58" s="16"/>
      <c r="AZ58" s="16"/>
    </row>
    <row r="59" spans="24:52" x14ac:dyDescent="0.25">
      <c r="X59" s="16"/>
      <c r="AZ59" s="16"/>
    </row>
    <row r="60" spans="24:52" x14ac:dyDescent="0.25">
      <c r="X60" s="16"/>
      <c r="AZ60" s="16"/>
    </row>
    <row r="61" spans="24:52" x14ac:dyDescent="0.25">
      <c r="X61" s="16"/>
      <c r="AZ61" s="16"/>
    </row>
    <row r="62" spans="24:52" x14ac:dyDescent="0.25">
      <c r="X62" s="16"/>
      <c r="AZ62" s="16"/>
    </row>
    <row r="63" spans="24:52" x14ac:dyDescent="0.25">
      <c r="X63" s="16"/>
      <c r="AZ63" s="16"/>
    </row>
    <row r="64" spans="24:52" x14ac:dyDescent="0.25">
      <c r="X64" s="16"/>
      <c r="AZ64" s="16"/>
    </row>
    <row r="65" spans="24:52" x14ac:dyDescent="0.25">
      <c r="X65" s="16"/>
      <c r="AZ65" s="16"/>
    </row>
    <row r="66" spans="24:52" x14ac:dyDescent="0.25">
      <c r="X66" s="16"/>
      <c r="AZ66" s="16"/>
    </row>
    <row r="67" spans="24:52" x14ac:dyDescent="0.25">
      <c r="X67" s="16"/>
      <c r="AZ67" s="16"/>
    </row>
    <row r="68" spans="24:52" x14ac:dyDescent="0.25">
      <c r="X68" s="16"/>
      <c r="AZ68" s="16"/>
    </row>
    <row r="69" spans="24:52" x14ac:dyDescent="0.25">
      <c r="X69" s="16"/>
      <c r="AZ69" s="16"/>
    </row>
    <row r="70" spans="24:52" x14ac:dyDescent="0.25">
      <c r="X70" s="16"/>
      <c r="AZ70" s="16"/>
    </row>
    <row r="71" spans="24:52" x14ac:dyDescent="0.25">
      <c r="X71" s="16"/>
      <c r="AZ71" s="16"/>
    </row>
    <row r="72" spans="24:52" x14ac:dyDescent="0.25">
      <c r="X72" s="16"/>
      <c r="AZ72" s="16"/>
    </row>
    <row r="73" spans="24:52" x14ac:dyDescent="0.25">
      <c r="X73" s="16"/>
      <c r="AZ73" s="16"/>
    </row>
    <row r="74" spans="24:52" x14ac:dyDescent="0.25">
      <c r="X74" s="16"/>
      <c r="AZ74" s="16"/>
    </row>
    <row r="75" spans="24:52" x14ac:dyDescent="0.25">
      <c r="X75" s="16"/>
      <c r="AZ75" s="16"/>
    </row>
    <row r="76" spans="24:52" x14ac:dyDescent="0.25">
      <c r="X76" s="16"/>
      <c r="AZ76" s="16"/>
    </row>
    <row r="77" spans="24:52" x14ac:dyDescent="0.25">
      <c r="X77" s="16"/>
      <c r="AZ77" s="16"/>
    </row>
    <row r="78" spans="24:52" x14ac:dyDescent="0.25">
      <c r="X78" s="16"/>
      <c r="AZ78" s="16"/>
    </row>
    <row r="79" spans="24:52" x14ac:dyDescent="0.25">
      <c r="X79" s="16"/>
      <c r="AZ79" s="16"/>
    </row>
    <row r="80" spans="24:52" x14ac:dyDescent="0.25">
      <c r="X80" s="17"/>
      <c r="AZ80" s="17"/>
    </row>
    <row r="81" spans="24:52" x14ac:dyDescent="0.25">
      <c r="X81" s="17"/>
      <c r="AZ81" s="17"/>
    </row>
    <row r="82" spans="24:52" x14ac:dyDescent="0.25">
      <c r="X82" s="16"/>
      <c r="AZ82" s="16"/>
    </row>
    <row r="83" spans="24:52" x14ac:dyDescent="0.25">
      <c r="X83" s="16"/>
      <c r="AZ83" s="16"/>
    </row>
    <row r="84" spans="24:52" x14ac:dyDescent="0.25">
      <c r="X84" s="16"/>
      <c r="AZ84" s="16"/>
    </row>
    <row r="85" spans="24:52" x14ac:dyDescent="0.25">
      <c r="X85" s="16"/>
      <c r="AZ85" s="16"/>
    </row>
  </sheetData>
  <sheetProtection sheet="1" objects="1" scenarios="1"/>
  <sortState ref="H13:H14">
    <sortCondition ref="H13"/>
  </sortState>
  <mergeCells count="5">
    <mergeCell ref="AL4:AN4"/>
    <mergeCell ref="AL3:AN3"/>
    <mergeCell ref="B2:H3"/>
    <mergeCell ref="J4:U4"/>
    <mergeCell ref="J3:U3"/>
  </mergeCells>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2:P22"/>
  <sheetViews>
    <sheetView zoomScale="85" zoomScaleNormal="85" workbookViewId="0"/>
  </sheetViews>
  <sheetFormatPr defaultRowHeight="15" x14ac:dyDescent="0.25"/>
  <cols>
    <col min="1" max="1" width="3" customWidth="1"/>
    <col min="2" max="3" width="10.42578125" bestFit="1" customWidth="1"/>
    <col min="4" max="4" width="21.42578125" bestFit="1" customWidth="1"/>
    <col min="5" max="5" width="13.42578125" bestFit="1" customWidth="1"/>
    <col min="7" max="7" width="19.28515625" bestFit="1" customWidth="1"/>
    <col min="8" max="8" width="19.140625" bestFit="1" customWidth="1"/>
    <col min="9" max="9" width="18.140625" bestFit="1" customWidth="1"/>
  </cols>
  <sheetData>
    <row r="2" spans="2:16" ht="15" customHeight="1" x14ac:dyDescent="0.25">
      <c r="B2" s="123" t="s">
        <v>407</v>
      </c>
      <c r="C2" s="123"/>
      <c r="D2" s="123"/>
      <c r="E2" s="123"/>
      <c r="F2" s="123"/>
      <c r="G2" s="123"/>
      <c r="H2" s="123"/>
      <c r="I2" s="123"/>
    </row>
    <row r="3" spans="2:16" ht="15" customHeight="1" x14ac:dyDescent="0.25">
      <c r="B3" s="123"/>
      <c r="C3" s="123"/>
      <c r="D3" s="123"/>
      <c r="E3" s="123"/>
      <c r="F3" s="123"/>
      <c r="G3" s="123"/>
      <c r="H3" s="123"/>
      <c r="I3" s="123"/>
      <c r="K3" s="130" t="s">
        <v>292</v>
      </c>
      <c r="L3" s="130"/>
      <c r="M3" s="130"/>
      <c r="N3" s="130" t="s">
        <v>292</v>
      </c>
      <c r="O3" s="130"/>
      <c r="P3" s="130"/>
    </row>
    <row r="4" spans="2:16" x14ac:dyDescent="0.25">
      <c r="B4" s="7" t="s">
        <v>165</v>
      </c>
      <c r="C4" s="7" t="s">
        <v>5</v>
      </c>
      <c r="D4" s="7" t="s">
        <v>197</v>
      </c>
      <c r="E4" s="7" t="s">
        <v>301</v>
      </c>
      <c r="F4" s="7" t="s">
        <v>185</v>
      </c>
      <c r="G4" s="7" t="s">
        <v>278</v>
      </c>
      <c r="H4" s="7" t="s">
        <v>282</v>
      </c>
      <c r="I4" s="7" t="s">
        <v>280</v>
      </c>
      <c r="K4" s="131" t="s">
        <v>6</v>
      </c>
      <c r="L4" s="131"/>
      <c r="M4" s="131"/>
      <c r="N4" s="131" t="s">
        <v>359</v>
      </c>
      <c r="O4" s="131"/>
      <c r="P4" s="131"/>
    </row>
    <row r="5" spans="2:16" x14ac:dyDescent="0.25">
      <c r="B5" s="8"/>
      <c r="C5" s="9"/>
      <c r="D5" s="9"/>
      <c r="E5" s="9" t="s">
        <v>303</v>
      </c>
      <c r="F5" s="9" t="s">
        <v>187</v>
      </c>
      <c r="G5" s="9" t="s">
        <v>199</v>
      </c>
      <c r="H5" s="9" t="s">
        <v>281</v>
      </c>
      <c r="I5" s="9" t="s">
        <v>283</v>
      </c>
      <c r="K5" s="96" t="s">
        <v>286</v>
      </c>
      <c r="L5" s="96" t="s">
        <v>284</v>
      </c>
      <c r="M5" s="96" t="s">
        <v>287</v>
      </c>
      <c r="N5" s="96" t="s">
        <v>286</v>
      </c>
      <c r="O5" s="96" t="s">
        <v>284</v>
      </c>
      <c r="P5" s="96" t="s">
        <v>287</v>
      </c>
    </row>
    <row r="6" spans="2:16" x14ac:dyDescent="0.25">
      <c r="B6" s="6">
        <f>DAYS360("31-12-2009",C6)</f>
        <v>1028</v>
      </c>
      <c r="C6" s="5">
        <v>41221</v>
      </c>
      <c r="D6" s="6" t="s">
        <v>402</v>
      </c>
      <c r="E6" s="6" t="s">
        <v>296</v>
      </c>
      <c r="F6" s="33">
        <v>120</v>
      </c>
      <c r="G6" s="79" t="s">
        <v>279</v>
      </c>
      <c r="H6" s="79" t="s">
        <v>279</v>
      </c>
      <c r="I6" s="79" t="s">
        <v>279</v>
      </c>
      <c r="K6" s="83" t="s">
        <v>293</v>
      </c>
      <c r="L6" s="83" t="s">
        <v>293</v>
      </c>
      <c r="M6" s="83" t="s">
        <v>293</v>
      </c>
      <c r="N6" s="83" t="s">
        <v>293</v>
      </c>
      <c r="O6" s="83" t="s">
        <v>293</v>
      </c>
      <c r="P6" s="83" t="s">
        <v>293</v>
      </c>
    </row>
    <row r="7" spans="2:16" x14ac:dyDescent="0.25">
      <c r="B7" s="6">
        <f t="shared" ref="B7:B8" si="0">DAYS360("31-12-2009",C7)</f>
        <v>1549</v>
      </c>
      <c r="C7" s="5">
        <v>41748</v>
      </c>
      <c r="D7" s="6" t="s">
        <v>402</v>
      </c>
      <c r="E7" s="6" t="s">
        <v>298</v>
      </c>
      <c r="F7" s="6">
        <v>2880</v>
      </c>
      <c r="G7" s="6">
        <f>C7-C6</f>
        <v>527</v>
      </c>
      <c r="H7" s="6">
        <v>527</v>
      </c>
      <c r="I7" s="6">
        <v>55</v>
      </c>
      <c r="K7" s="6">
        <v>55</v>
      </c>
      <c r="L7" s="6">
        <v>1</v>
      </c>
      <c r="M7" s="83">
        <f>($M$13-L7+0.625)/($M$13+0.25)</f>
        <v>0.88095238095238093</v>
      </c>
      <c r="N7" s="6">
        <v>309</v>
      </c>
      <c r="O7" s="6">
        <v>1</v>
      </c>
      <c r="P7" s="83">
        <f>($P$10-O7+0.625)/($P$10+0.25)</f>
        <v>0.72222222222222221</v>
      </c>
    </row>
    <row r="8" spans="2:16" x14ac:dyDescent="0.25">
      <c r="B8" s="6">
        <f t="shared" si="0"/>
        <v>1774</v>
      </c>
      <c r="C8" s="5">
        <v>41977</v>
      </c>
      <c r="D8" s="6" t="s">
        <v>402</v>
      </c>
      <c r="E8" s="6" t="s">
        <v>297</v>
      </c>
      <c r="F8" s="6">
        <v>120</v>
      </c>
      <c r="G8" s="6">
        <f t="shared" ref="G8:G14" si="1">C8-C7</f>
        <v>229</v>
      </c>
      <c r="H8" s="6">
        <v>229</v>
      </c>
      <c r="I8" s="6">
        <v>83</v>
      </c>
      <c r="K8" s="6">
        <v>83</v>
      </c>
      <c r="L8" s="6">
        <v>2</v>
      </c>
      <c r="M8" s="83">
        <f>($M$13-L8+0.625)/($M$13+0.25)</f>
        <v>0.69047619047619047</v>
      </c>
      <c r="N8" s="6">
        <v>377</v>
      </c>
      <c r="O8" s="6">
        <v>2</v>
      </c>
      <c r="P8" s="83">
        <f>($P$10-O8+0.625)/($P$10+0.25)</f>
        <v>0.27777777777777779</v>
      </c>
    </row>
    <row r="9" spans="2:16" x14ac:dyDescent="0.25">
      <c r="B9" s="6">
        <f>DAYS360("31-12-2009",C9)</f>
        <v>1828</v>
      </c>
      <c r="C9" s="5">
        <v>42032</v>
      </c>
      <c r="D9" s="6" t="s">
        <v>402</v>
      </c>
      <c r="E9" s="6" t="s">
        <v>297</v>
      </c>
      <c r="F9" s="30">
        <v>15</v>
      </c>
      <c r="G9" s="6">
        <f t="shared" si="1"/>
        <v>55</v>
      </c>
      <c r="H9" s="6">
        <v>55</v>
      </c>
      <c r="I9" s="6">
        <v>132</v>
      </c>
      <c r="K9" s="6">
        <v>132</v>
      </c>
      <c r="L9" s="6">
        <v>3</v>
      </c>
      <c r="M9" s="83">
        <f>($M$13-L9+0.625)/($M$13+0.25)</f>
        <v>0.5</v>
      </c>
    </row>
    <row r="10" spans="2:16" x14ac:dyDescent="0.25">
      <c r="B10" s="6">
        <f>DAYS360("31-12-2009",C10)</f>
        <v>1959</v>
      </c>
      <c r="C10" s="5">
        <v>42164</v>
      </c>
      <c r="D10" s="6" t="s">
        <v>402</v>
      </c>
      <c r="E10" s="6" t="s">
        <v>297</v>
      </c>
      <c r="F10" s="30">
        <v>150</v>
      </c>
      <c r="G10" s="6">
        <f t="shared" si="1"/>
        <v>132</v>
      </c>
      <c r="H10" s="6">
        <v>132</v>
      </c>
      <c r="I10" s="6">
        <v>229</v>
      </c>
      <c r="K10" s="6">
        <v>229</v>
      </c>
      <c r="L10" s="6">
        <v>4</v>
      </c>
      <c r="M10" s="83">
        <f>($M$13-L10+0.625)/($M$13+0.25)</f>
        <v>0.30952380952380953</v>
      </c>
      <c r="O10" s="80" t="s">
        <v>285</v>
      </c>
      <c r="P10" s="81">
        <f>COUNT(O7:O8)</f>
        <v>2</v>
      </c>
    </row>
    <row r="11" spans="2:16" x14ac:dyDescent="0.25">
      <c r="B11" s="6">
        <f>DAYS360("31-12-2009",C11)</f>
        <v>2040</v>
      </c>
      <c r="C11" s="5">
        <v>42247</v>
      </c>
      <c r="D11" s="6" t="s">
        <v>402</v>
      </c>
      <c r="E11" s="6" t="s">
        <v>297</v>
      </c>
      <c r="F11" s="30">
        <v>120</v>
      </c>
      <c r="G11" s="6">
        <f t="shared" si="1"/>
        <v>83</v>
      </c>
      <c r="H11" s="6">
        <v>83</v>
      </c>
      <c r="I11" s="6">
        <v>527</v>
      </c>
      <c r="K11" s="6">
        <v>527</v>
      </c>
      <c r="L11" s="6">
        <v>5</v>
      </c>
      <c r="M11" s="83">
        <f>($M$13-L11+0.625)/($M$13+0.25)</f>
        <v>0.11904761904761904</v>
      </c>
    </row>
    <row r="12" spans="2:16" x14ac:dyDescent="0.25">
      <c r="B12" s="6">
        <f>DAYS360($B$5,C12)</f>
        <v>39725</v>
      </c>
      <c r="C12" s="5">
        <v>40303</v>
      </c>
      <c r="D12" s="6" t="s">
        <v>417</v>
      </c>
      <c r="E12" s="6" t="s">
        <v>296</v>
      </c>
      <c r="F12" s="34">
        <v>30</v>
      </c>
      <c r="G12" s="79" t="s">
        <v>279</v>
      </c>
      <c r="H12" s="79" t="s">
        <v>279</v>
      </c>
      <c r="I12" s="79" t="s">
        <v>279</v>
      </c>
    </row>
    <row r="13" spans="2:16" x14ac:dyDescent="0.25">
      <c r="B13" s="6">
        <f>DAYS360($B$5,C13)</f>
        <v>40097</v>
      </c>
      <c r="C13" s="5">
        <v>40680</v>
      </c>
      <c r="D13" s="6" t="s">
        <v>417</v>
      </c>
      <c r="E13" s="6" t="s">
        <v>297</v>
      </c>
      <c r="F13" s="33">
        <v>120</v>
      </c>
      <c r="G13" s="6">
        <f t="shared" si="1"/>
        <v>377</v>
      </c>
      <c r="H13" s="6">
        <v>377</v>
      </c>
      <c r="I13" s="6">
        <v>309</v>
      </c>
      <c r="L13" s="80" t="s">
        <v>285</v>
      </c>
      <c r="M13" s="81">
        <f>COUNT(L7:L11)</f>
        <v>5</v>
      </c>
    </row>
    <row r="14" spans="2:16" x14ac:dyDescent="0.25">
      <c r="B14" s="6">
        <f>DAYS360($B$5,C14)</f>
        <v>40401</v>
      </c>
      <c r="C14" s="5">
        <v>40989</v>
      </c>
      <c r="D14" s="6" t="s">
        <v>417</v>
      </c>
      <c r="E14" s="6" t="s">
        <v>297</v>
      </c>
      <c r="F14" s="33">
        <v>60</v>
      </c>
      <c r="G14" s="6">
        <f t="shared" si="1"/>
        <v>309</v>
      </c>
      <c r="H14" s="6">
        <v>309</v>
      </c>
      <c r="I14" s="6">
        <v>377</v>
      </c>
    </row>
    <row r="15" spans="2:16" x14ac:dyDescent="0.25">
      <c r="K15" t="s">
        <v>294</v>
      </c>
    </row>
    <row r="16" spans="2:16" x14ac:dyDescent="0.25">
      <c r="B16" s="132" t="s">
        <v>295</v>
      </c>
      <c r="C16" s="133"/>
      <c r="D16" s="134"/>
    </row>
    <row r="17" spans="2:11" x14ac:dyDescent="0.25">
      <c r="B17" s="98" t="s">
        <v>296</v>
      </c>
      <c r="C17" s="135" t="s">
        <v>299</v>
      </c>
      <c r="D17" s="135"/>
      <c r="K17" t="s">
        <v>288</v>
      </c>
    </row>
    <row r="18" spans="2:11" x14ac:dyDescent="0.25">
      <c r="B18" s="98" t="s">
        <v>297</v>
      </c>
      <c r="C18" s="135" t="s">
        <v>300</v>
      </c>
      <c r="D18" s="135"/>
    </row>
    <row r="19" spans="2:11" x14ac:dyDescent="0.25">
      <c r="B19" s="98" t="s">
        <v>298</v>
      </c>
      <c r="C19" s="135" t="s">
        <v>302</v>
      </c>
      <c r="D19" s="135"/>
      <c r="K19" t="s">
        <v>289</v>
      </c>
    </row>
    <row r="21" spans="2:11" x14ac:dyDescent="0.25">
      <c r="K21" t="s">
        <v>290</v>
      </c>
    </row>
    <row r="22" spans="2:11" x14ac:dyDescent="0.25">
      <c r="K22" t="s">
        <v>291</v>
      </c>
    </row>
  </sheetData>
  <sheetProtection sheet="1" objects="1" scenarios="1"/>
  <mergeCells count="9">
    <mergeCell ref="C18:D18"/>
    <mergeCell ref="C19:D19"/>
    <mergeCell ref="B2:I3"/>
    <mergeCell ref="K3:M3"/>
    <mergeCell ref="N3:P3"/>
    <mergeCell ref="K4:M4"/>
    <mergeCell ref="N4:P4"/>
    <mergeCell ref="B16:D16"/>
    <mergeCell ref="C17:D17"/>
  </mergeCells>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B2:AO88"/>
  <sheetViews>
    <sheetView zoomScale="85" zoomScaleNormal="85" workbookViewId="0"/>
  </sheetViews>
  <sheetFormatPr defaultRowHeight="15" x14ac:dyDescent="0.25"/>
  <cols>
    <col min="1" max="1" width="3" customWidth="1"/>
    <col min="2" max="2" width="10.42578125" bestFit="1" customWidth="1"/>
    <col min="3" max="3" width="12" bestFit="1" customWidth="1"/>
    <col min="4" max="4" width="10.42578125" bestFit="1" customWidth="1"/>
    <col min="5" max="5" width="22.85546875" bestFit="1" customWidth="1"/>
    <col min="7" max="7" width="10.85546875" bestFit="1" customWidth="1"/>
    <col min="8" max="8" width="14.85546875" bestFit="1" customWidth="1"/>
    <col min="9" max="9" width="12" bestFit="1" customWidth="1"/>
    <col min="10" max="10" width="11.28515625" bestFit="1" customWidth="1"/>
    <col min="11" max="11" width="11.28515625" customWidth="1"/>
    <col min="12" max="12" width="12.28515625" bestFit="1" customWidth="1"/>
    <col min="13" max="13" width="13.7109375" bestFit="1" customWidth="1"/>
    <col min="14" max="15" width="12" bestFit="1" customWidth="1"/>
    <col min="16" max="16" width="12" customWidth="1"/>
    <col min="17" max="17" width="14" bestFit="1" customWidth="1"/>
    <col min="18" max="18" width="14" customWidth="1"/>
    <col min="20" max="21" width="10.42578125" bestFit="1" customWidth="1"/>
    <col min="22" max="22" width="21.42578125" bestFit="1" customWidth="1"/>
    <col min="24" max="24" width="10.85546875" bestFit="1" customWidth="1"/>
    <col min="25" max="25" width="14.85546875" bestFit="1" customWidth="1"/>
    <col min="26" max="26" width="12" bestFit="1" customWidth="1"/>
    <col min="27" max="27" width="11.42578125" bestFit="1" customWidth="1"/>
    <col min="28" max="29" width="11.42578125" customWidth="1"/>
    <col min="30" max="30" width="13.7109375" bestFit="1" customWidth="1"/>
    <col min="31" max="33" width="12" bestFit="1" customWidth="1"/>
    <col min="34" max="34" width="14" bestFit="1" customWidth="1"/>
    <col min="37" max="41" width="12.28515625" customWidth="1"/>
  </cols>
  <sheetData>
    <row r="2" spans="2:41" ht="15" customHeight="1" x14ac:dyDescent="0.25">
      <c r="B2" s="123" t="s">
        <v>410</v>
      </c>
      <c r="C2" s="123"/>
      <c r="D2" s="123"/>
      <c r="E2" s="123"/>
      <c r="F2" s="123"/>
      <c r="G2" s="123"/>
      <c r="H2" s="123"/>
      <c r="I2" s="123"/>
      <c r="J2" s="123"/>
      <c r="K2" s="123"/>
      <c r="L2" s="123"/>
      <c r="M2" s="123"/>
      <c r="N2" s="123"/>
      <c r="O2" s="123"/>
      <c r="P2" s="123"/>
      <c r="Q2" s="123"/>
      <c r="R2" s="123"/>
      <c r="T2" s="123" t="s">
        <v>411</v>
      </c>
      <c r="U2" s="123"/>
      <c r="V2" s="123"/>
      <c r="W2" s="123"/>
      <c r="X2" s="123"/>
      <c r="Y2" s="123"/>
      <c r="Z2" s="123"/>
      <c r="AA2" s="123"/>
      <c r="AB2" s="123"/>
      <c r="AC2" s="123"/>
      <c r="AD2" s="123"/>
      <c r="AE2" s="123"/>
      <c r="AF2" s="123"/>
      <c r="AG2" s="123"/>
      <c r="AH2" s="123"/>
      <c r="AI2" s="123"/>
      <c r="AJ2" t="s">
        <v>271</v>
      </c>
    </row>
    <row r="3" spans="2:41" x14ac:dyDescent="0.25">
      <c r="B3" s="123"/>
      <c r="C3" s="123"/>
      <c r="D3" s="123"/>
      <c r="E3" s="123"/>
      <c r="F3" s="123"/>
      <c r="G3" s="123"/>
      <c r="H3" s="123"/>
      <c r="I3" s="123"/>
      <c r="J3" s="123"/>
      <c r="K3" s="123"/>
      <c r="L3" s="123"/>
      <c r="M3" s="123"/>
      <c r="N3" s="123"/>
      <c r="O3" s="123"/>
      <c r="P3" s="123"/>
      <c r="Q3" s="123"/>
      <c r="R3" s="123"/>
      <c r="T3" s="123"/>
      <c r="U3" s="123"/>
      <c r="V3" s="123"/>
      <c r="W3" s="123"/>
      <c r="X3" s="123"/>
      <c r="Y3" s="123"/>
      <c r="Z3" s="123"/>
      <c r="AA3" s="123"/>
      <c r="AB3" s="123"/>
      <c r="AC3" s="123"/>
      <c r="AD3" s="123"/>
      <c r="AE3" s="123"/>
      <c r="AF3" s="123"/>
      <c r="AG3" s="123"/>
      <c r="AH3" s="123"/>
      <c r="AI3" s="123"/>
      <c r="AK3" s="123" t="s">
        <v>6</v>
      </c>
      <c r="AL3" s="123"/>
      <c r="AM3" s="123"/>
      <c r="AN3" s="141" t="s">
        <v>359</v>
      </c>
      <c r="AO3" s="142"/>
    </row>
    <row r="4" spans="2:41" x14ac:dyDescent="0.25">
      <c r="B4" s="7" t="s">
        <v>165</v>
      </c>
      <c r="C4" s="7" t="s">
        <v>168</v>
      </c>
      <c r="D4" s="7" t="s">
        <v>5</v>
      </c>
      <c r="E4" s="7" t="s">
        <v>2</v>
      </c>
      <c r="F4" s="7" t="s">
        <v>185</v>
      </c>
      <c r="G4" s="7" t="s">
        <v>191</v>
      </c>
      <c r="H4" s="7" t="s">
        <v>192</v>
      </c>
      <c r="I4" s="7" t="s">
        <v>194</v>
      </c>
      <c r="J4" s="7" t="s">
        <v>194</v>
      </c>
      <c r="K4" s="7" t="s">
        <v>223</v>
      </c>
      <c r="L4" s="7" t="s">
        <v>238</v>
      </c>
      <c r="M4" s="7" t="s">
        <v>236</v>
      </c>
      <c r="N4" s="41" t="s">
        <v>208</v>
      </c>
      <c r="O4" s="41" t="s">
        <v>230</v>
      </c>
      <c r="P4" s="41" t="s">
        <v>231</v>
      </c>
      <c r="Q4" s="41" t="s">
        <v>211</v>
      </c>
      <c r="R4" s="41" t="s">
        <v>260</v>
      </c>
      <c r="T4" s="7" t="s">
        <v>165</v>
      </c>
      <c r="U4" s="7" t="s">
        <v>5</v>
      </c>
      <c r="V4" s="7" t="s">
        <v>197</v>
      </c>
      <c r="W4" s="7" t="s">
        <v>185</v>
      </c>
      <c r="X4" s="7" t="s">
        <v>191</v>
      </c>
      <c r="Y4" s="7" t="s">
        <v>192</v>
      </c>
      <c r="Z4" s="7" t="s">
        <v>198</v>
      </c>
      <c r="AA4" s="7" t="s">
        <v>198</v>
      </c>
      <c r="AB4" s="7" t="s">
        <v>224</v>
      </c>
      <c r="AC4" s="7" t="s">
        <v>238</v>
      </c>
      <c r="AD4" s="7" t="s">
        <v>236</v>
      </c>
      <c r="AE4" s="41" t="s">
        <v>208</v>
      </c>
      <c r="AF4" s="41" t="s">
        <v>230</v>
      </c>
      <c r="AG4" s="41" t="s">
        <v>231</v>
      </c>
      <c r="AH4" s="41" t="s">
        <v>211</v>
      </c>
      <c r="AI4" s="41" t="s">
        <v>260</v>
      </c>
      <c r="AJ4" s="75" t="s">
        <v>264</v>
      </c>
      <c r="AK4" s="76" t="s">
        <v>265</v>
      </c>
      <c r="AL4" s="76" t="s">
        <v>265</v>
      </c>
      <c r="AM4" s="76" t="s">
        <v>265</v>
      </c>
      <c r="AN4" s="76" t="s">
        <v>265</v>
      </c>
      <c r="AO4" s="76" t="s">
        <v>265</v>
      </c>
    </row>
    <row r="5" spans="2:41" x14ac:dyDescent="0.25">
      <c r="B5" s="8"/>
      <c r="C5" s="8"/>
      <c r="D5" s="9"/>
      <c r="E5" s="9"/>
      <c r="F5" s="9" t="s">
        <v>187</v>
      </c>
      <c r="G5" s="9"/>
      <c r="H5" s="9" t="s">
        <v>187</v>
      </c>
      <c r="I5" s="9" t="s">
        <v>187</v>
      </c>
      <c r="J5" s="9" t="s">
        <v>199</v>
      </c>
      <c r="K5" s="9" t="s">
        <v>187</v>
      </c>
      <c r="L5" s="9" t="s">
        <v>237</v>
      </c>
      <c r="M5" s="9" t="s">
        <v>237</v>
      </c>
      <c r="N5" s="42" t="s">
        <v>257</v>
      </c>
      <c r="O5" s="42" t="s">
        <v>257</v>
      </c>
      <c r="P5" s="42" t="s">
        <v>257</v>
      </c>
      <c r="Q5" s="42" t="s">
        <v>257</v>
      </c>
      <c r="R5" s="42" t="s">
        <v>263</v>
      </c>
      <c r="T5" s="8"/>
      <c r="U5" s="9"/>
      <c r="V5" s="9"/>
      <c r="W5" s="9" t="s">
        <v>187</v>
      </c>
      <c r="X5" s="9"/>
      <c r="Y5" s="9" t="s">
        <v>187</v>
      </c>
      <c r="Z5" s="9" t="s">
        <v>187</v>
      </c>
      <c r="AA5" s="9" t="s">
        <v>199</v>
      </c>
      <c r="AB5" s="9" t="s">
        <v>187</v>
      </c>
      <c r="AC5" s="9" t="s">
        <v>237</v>
      </c>
      <c r="AD5" s="9" t="s">
        <v>237</v>
      </c>
      <c r="AE5" s="42" t="s">
        <v>257</v>
      </c>
      <c r="AF5" s="42" t="s">
        <v>257</v>
      </c>
      <c r="AG5" s="42" t="s">
        <v>257</v>
      </c>
      <c r="AH5" s="42" t="s">
        <v>257</v>
      </c>
      <c r="AI5" s="42" t="s">
        <v>263</v>
      </c>
      <c r="AJ5" s="42" t="s">
        <v>269</v>
      </c>
      <c r="AK5" s="42" t="s">
        <v>270</v>
      </c>
      <c r="AL5" s="42" t="s">
        <v>273</v>
      </c>
      <c r="AM5" s="42" t="s">
        <v>274</v>
      </c>
      <c r="AN5" s="42" t="s">
        <v>273</v>
      </c>
      <c r="AO5" s="42" t="s">
        <v>274</v>
      </c>
    </row>
    <row r="6" spans="2:41" x14ac:dyDescent="0.25">
      <c r="B6" s="6">
        <f>DAYS360("31-12-2009",D6)</f>
        <v>206</v>
      </c>
      <c r="C6" s="10">
        <v>1</v>
      </c>
      <c r="D6" s="5">
        <v>40385</v>
      </c>
      <c r="E6" s="6" t="s">
        <v>409</v>
      </c>
      <c r="F6" s="34">
        <v>180</v>
      </c>
      <c r="G6" s="31"/>
      <c r="H6" s="31"/>
      <c r="I6" s="31"/>
      <c r="J6" s="31"/>
      <c r="K6" s="31"/>
      <c r="L6" s="6">
        <f>F6-$F$11</f>
        <v>-1944</v>
      </c>
      <c r="M6" s="6">
        <f>SQRT((L6*L6)/COUNT($B$6:$B$10))</f>
        <v>869.38322965191821</v>
      </c>
      <c r="N6" s="31"/>
      <c r="O6" s="31"/>
      <c r="P6" s="31"/>
      <c r="Q6" s="31"/>
      <c r="R6" s="31"/>
      <c r="T6" s="6">
        <f>DAYS360("31-12-2009",U6)</f>
        <v>206</v>
      </c>
      <c r="U6" s="5">
        <v>40385</v>
      </c>
      <c r="V6" s="6" t="s">
        <v>404</v>
      </c>
      <c r="W6" s="34">
        <v>180</v>
      </c>
      <c r="X6" s="31"/>
      <c r="Y6" s="31"/>
      <c r="Z6" s="31"/>
      <c r="AA6" s="31"/>
      <c r="AB6" s="31"/>
      <c r="AC6" s="31"/>
      <c r="AD6" s="31"/>
      <c r="AE6" s="31"/>
      <c r="AF6" s="31"/>
      <c r="AG6" s="31"/>
      <c r="AH6" s="31"/>
      <c r="AI6" s="31"/>
      <c r="AJ6">
        <v>1</v>
      </c>
      <c r="AK6" s="6">
        <f>EXP(-$AE$7*(AJ6))</f>
        <v>0.99442898380825406</v>
      </c>
      <c r="AL6" s="6">
        <f>EXP(-$AE$9*(AJ6))</f>
        <v>0.99721836062779279</v>
      </c>
      <c r="AM6" s="6">
        <f>EXP(-$AE$11*(AJ6))</f>
        <v>0.99945220488907882</v>
      </c>
      <c r="AN6" s="6">
        <f>EXP(-$AE$13*(AJ6))</f>
        <v>0.99721836062779279</v>
      </c>
      <c r="AO6" s="6">
        <f>EXP(-$AE$15*(AJ6))</f>
        <v>0.99945220488907882</v>
      </c>
    </row>
    <row r="7" spans="2:41" x14ac:dyDescent="0.25">
      <c r="B7" s="6">
        <f t="shared" ref="B7:B10" si="0">DAYS360("31-12-2009",D7)</f>
        <v>290</v>
      </c>
      <c r="C7" s="10">
        <v>1</v>
      </c>
      <c r="D7" s="5">
        <v>40471</v>
      </c>
      <c r="E7" s="6" t="s">
        <v>409</v>
      </c>
      <c r="F7" s="34">
        <v>60</v>
      </c>
      <c r="G7" s="31"/>
      <c r="H7" s="31"/>
      <c r="I7" s="31"/>
      <c r="J7" s="31"/>
      <c r="K7" s="31"/>
      <c r="L7" s="6">
        <f t="shared" ref="L7:L10" si="1">F7-$F$11</f>
        <v>-2064</v>
      </c>
      <c r="M7" s="6">
        <f t="shared" ref="M7:M9" si="2">SQRT((L7*L7)/COUNT($B$6:$B$10))</f>
        <v>923.0488611119132</v>
      </c>
      <c r="N7" s="31"/>
      <c r="O7" s="31"/>
      <c r="P7" s="31"/>
      <c r="Q7" s="31"/>
      <c r="R7" s="31"/>
      <c r="T7" s="6">
        <f>DAYS360("31-12-2009",U7)</f>
        <v>290</v>
      </c>
      <c r="U7" s="5">
        <v>40471</v>
      </c>
      <c r="V7" s="6" t="s">
        <v>404</v>
      </c>
      <c r="W7" s="34">
        <v>60</v>
      </c>
      <c r="X7" s="6">
        <f>COUNT(W6:W7)</f>
        <v>2</v>
      </c>
      <c r="Y7" s="6">
        <f>SUM(W6:W7)</f>
        <v>240</v>
      </c>
      <c r="Z7" s="6">
        <f>($F$14-Y7)/X7</f>
        <v>259080</v>
      </c>
      <c r="AA7" s="6">
        <f>INT(Z7/60/24)</f>
        <v>179</v>
      </c>
      <c r="AB7" s="6">
        <f>Y7/X7</f>
        <v>120</v>
      </c>
      <c r="AC7" s="6">
        <f>Y7-W8</f>
        <v>120</v>
      </c>
      <c r="AD7" s="33">
        <f>SQRT((AC7*AC7)/COUNT(W6:W7))</f>
        <v>84.852813742385706</v>
      </c>
      <c r="AE7" s="6">
        <f>1/AA7</f>
        <v>5.5865921787709499E-3</v>
      </c>
      <c r="AF7" s="6">
        <f>AE7*EXP(-AE7*(365*1))</f>
        <v>7.2706698111458005E-4</v>
      </c>
      <c r="AG7" s="6">
        <f>1-EXP(-AE7*(365*1))</f>
        <v>0.86985501038049018</v>
      </c>
      <c r="AH7" s="6">
        <f>EXP(-AE7*(365*1))</f>
        <v>0.13014498961950982</v>
      </c>
      <c r="AI7" s="6">
        <f>$F$14/(Y7+$F$14)*100</f>
        <v>99.953725127255893</v>
      </c>
      <c r="AJ7">
        <f>AJ6+5</f>
        <v>6</v>
      </c>
      <c r="AK7" s="6">
        <f t="shared" ref="AK7:AK70" si="3">EXP(-$AE$7*(AJ7))</f>
        <v>0.96703600252135291</v>
      </c>
      <c r="AL7" s="6">
        <f t="shared" ref="AL7:AL70" si="4">EXP(-$AE$9*(AJ7))</f>
        <v>0.98342579696807908</v>
      </c>
      <c r="AM7" s="6">
        <f t="shared" ref="AM7:AM70" si="5">EXP(-$AE$11*(AJ7))</f>
        <v>0.99671772724043539</v>
      </c>
      <c r="AN7" s="6">
        <f t="shared" ref="AN7:AN70" si="6">EXP(-$AE$13*(AJ7))</f>
        <v>0.98342579696807908</v>
      </c>
      <c r="AO7" s="6">
        <f t="shared" ref="AO7:AO70" si="7">EXP(-$AE$15*(AJ7))</f>
        <v>0.99671772724043539</v>
      </c>
    </row>
    <row r="8" spans="2:41" x14ac:dyDescent="0.25">
      <c r="B8" s="6">
        <f t="shared" si="0"/>
        <v>738</v>
      </c>
      <c r="C8" s="10">
        <v>2</v>
      </c>
      <c r="D8" s="5">
        <v>40926</v>
      </c>
      <c r="E8" s="6" t="s">
        <v>409</v>
      </c>
      <c r="F8" s="33">
        <v>180</v>
      </c>
      <c r="G8" s="31"/>
      <c r="H8" s="31"/>
      <c r="I8" s="31"/>
      <c r="J8" s="31"/>
      <c r="K8" s="31"/>
      <c r="L8" s="6">
        <f t="shared" si="1"/>
        <v>-1944</v>
      </c>
      <c r="M8" s="6">
        <f t="shared" si="2"/>
        <v>869.38322965191821</v>
      </c>
      <c r="N8" s="31"/>
      <c r="O8" s="31"/>
      <c r="P8" s="31"/>
      <c r="Q8" s="31"/>
      <c r="R8" s="31"/>
      <c r="T8" s="31"/>
      <c r="U8" s="31"/>
      <c r="V8" s="43" t="s">
        <v>235</v>
      </c>
      <c r="W8" s="6">
        <f>AVERAGE(W6:W7)</f>
        <v>120</v>
      </c>
      <c r="X8" s="31"/>
      <c r="Y8" s="31"/>
      <c r="Z8" s="31"/>
      <c r="AA8" s="31"/>
      <c r="AB8" s="31"/>
      <c r="AC8" s="31"/>
      <c r="AD8" s="31"/>
      <c r="AE8" s="31"/>
      <c r="AF8" s="31"/>
      <c r="AG8" s="31"/>
      <c r="AH8" s="31"/>
      <c r="AI8" s="31"/>
      <c r="AJ8">
        <f t="shared" ref="AJ8:AJ71" si="8">AJ7+5</f>
        <v>11</v>
      </c>
      <c r="AK8" s="6">
        <f t="shared" si="3"/>
        <v>0.94039760043115894</v>
      </c>
      <c r="AL8" s="6">
        <f t="shared" si="4"/>
        <v>0.96982399876136749</v>
      </c>
      <c r="AM8" s="6">
        <f t="shared" si="5"/>
        <v>0.99399073105811353</v>
      </c>
      <c r="AN8" s="6">
        <f t="shared" si="6"/>
        <v>0.96982399876136749</v>
      </c>
      <c r="AO8" s="6">
        <f t="shared" si="7"/>
        <v>0.99399073105811353</v>
      </c>
    </row>
    <row r="9" spans="2:41" x14ac:dyDescent="0.25">
      <c r="B9" s="6">
        <f t="shared" si="0"/>
        <v>1103</v>
      </c>
      <c r="C9" s="10">
        <v>1</v>
      </c>
      <c r="D9" s="5">
        <v>41297</v>
      </c>
      <c r="E9" s="6" t="s">
        <v>409</v>
      </c>
      <c r="F9" s="33">
        <v>120</v>
      </c>
      <c r="G9" s="31"/>
      <c r="H9" s="31"/>
      <c r="I9" s="31"/>
      <c r="J9" s="31"/>
      <c r="K9" s="31"/>
      <c r="L9" s="6">
        <f t="shared" si="1"/>
        <v>-2004</v>
      </c>
      <c r="M9" s="6">
        <f t="shared" si="2"/>
        <v>896.21604538191571</v>
      </c>
      <c r="N9" s="31"/>
      <c r="O9" s="31"/>
      <c r="P9" s="31"/>
      <c r="Q9" s="31"/>
      <c r="R9" s="31"/>
      <c r="T9" s="6">
        <f>DAYS360("31-12-2009",U9)</f>
        <v>738</v>
      </c>
      <c r="U9" s="5">
        <v>40926</v>
      </c>
      <c r="V9" s="6" t="s">
        <v>404</v>
      </c>
      <c r="W9" s="33">
        <v>150</v>
      </c>
      <c r="X9" s="6">
        <f>COUNT(W9)</f>
        <v>1</v>
      </c>
      <c r="Y9" s="6">
        <f>SUM(W9)</f>
        <v>150</v>
      </c>
      <c r="Z9" s="6">
        <f>($F$14-Y9)/X9</f>
        <v>518250</v>
      </c>
      <c r="AA9" s="6">
        <f>INT(Z9/60/24)</f>
        <v>359</v>
      </c>
      <c r="AB9" s="6">
        <f>Y9/X9</f>
        <v>150</v>
      </c>
      <c r="AC9" s="6">
        <f>Y9-W10</f>
        <v>0</v>
      </c>
      <c r="AD9" s="33">
        <f>SQRT((AC9*AC9)/COUNT(W9))</f>
        <v>0</v>
      </c>
      <c r="AE9" s="6">
        <f>1/AA9</f>
        <v>2.7855153203342618E-3</v>
      </c>
      <c r="AF9" s="6">
        <f>AE9*EXP(-AE9*(365*1))</f>
        <v>1.007749673042332E-3</v>
      </c>
      <c r="AG9" s="6">
        <f>1-EXP(-AE9*(365*1))</f>
        <v>0.63821786737780273</v>
      </c>
      <c r="AH9" s="6">
        <f>EXP(-AE9*(365*1))</f>
        <v>0.36178213262219722</v>
      </c>
      <c r="AI9" s="6">
        <f>$F$14/(Y9+$F$14)*100</f>
        <v>99.971073184842353</v>
      </c>
      <c r="AJ9">
        <f t="shared" si="8"/>
        <v>16</v>
      </c>
      <c r="AK9" s="6">
        <f t="shared" si="3"/>
        <v>0.91449299156486641</v>
      </c>
      <c r="AL9" s="6">
        <f t="shared" si="4"/>
        <v>0.95641032752369259</v>
      </c>
      <c r="AM9" s="6">
        <f t="shared" si="5"/>
        <v>0.99127119587299795</v>
      </c>
      <c r="AN9" s="6">
        <f t="shared" si="6"/>
        <v>0.95641032752369259</v>
      </c>
      <c r="AO9" s="6">
        <f t="shared" si="7"/>
        <v>0.99127119587299795</v>
      </c>
    </row>
    <row r="10" spans="2:41" x14ac:dyDescent="0.25">
      <c r="B10" s="6">
        <f t="shared" si="0"/>
        <v>1301</v>
      </c>
      <c r="C10" s="10">
        <v>1</v>
      </c>
      <c r="D10" s="5">
        <v>41497</v>
      </c>
      <c r="E10" s="6" t="s">
        <v>409</v>
      </c>
      <c r="F10" s="33">
        <f>7*24*60</f>
        <v>10080</v>
      </c>
      <c r="G10" s="6">
        <f>COUNT(F6:F10)</f>
        <v>5</v>
      </c>
      <c r="H10" s="6">
        <f>SUM(F6:F10)</f>
        <v>10620</v>
      </c>
      <c r="I10" s="6">
        <f>(2592000-H10)/G10</f>
        <v>516276</v>
      </c>
      <c r="J10" s="6">
        <f>INT(I10/60/24)</f>
        <v>358</v>
      </c>
      <c r="K10" s="6">
        <f>H10/G10</f>
        <v>2124</v>
      </c>
      <c r="L10" s="6">
        <f t="shared" si="1"/>
        <v>7956</v>
      </c>
      <c r="M10" s="6">
        <f>SQRT((L10*L10)/COUNT(B10:B37))</f>
        <v>7956</v>
      </c>
      <c r="N10" s="6">
        <f>G10/(365*5)</f>
        <v>2.7397260273972603E-3</v>
      </c>
      <c r="O10" s="6">
        <f>N10*EXP(-N10*(365*5))</f>
        <v>1.8460128764617718E-5</v>
      </c>
      <c r="P10" s="6">
        <f>1-EXP(-N10*(365*5))</f>
        <v>0.99326205300091452</v>
      </c>
      <c r="Q10" s="6">
        <f>EXP(-N10*(365*5))</f>
        <v>6.737946999085467E-3</v>
      </c>
      <c r="R10" s="33">
        <f>F13/(F12+F13)*100</f>
        <v>99.591949650736566</v>
      </c>
      <c r="T10" s="31"/>
      <c r="U10" s="31"/>
      <c r="V10" s="43" t="s">
        <v>235</v>
      </c>
      <c r="W10" s="6">
        <f>AVERAGE(W9)</f>
        <v>150</v>
      </c>
      <c r="X10" s="31"/>
      <c r="Y10" s="31"/>
      <c r="Z10" s="31"/>
      <c r="AA10" s="31"/>
      <c r="AB10" s="31"/>
      <c r="AC10" s="31"/>
      <c r="AD10" s="31"/>
      <c r="AE10" s="31"/>
      <c r="AF10" s="31"/>
      <c r="AG10" s="31"/>
      <c r="AH10" s="31"/>
      <c r="AI10" s="31"/>
      <c r="AJ10">
        <f t="shared" si="8"/>
        <v>21</v>
      </c>
      <c r="AK10" s="6">
        <f t="shared" si="3"/>
        <v>0.88930196252928373</v>
      </c>
      <c r="AL10" s="6">
        <f t="shared" si="4"/>
        <v>0.94318218126405728</v>
      </c>
      <c r="AM10" s="6">
        <f t="shared" si="5"/>
        <v>0.98855910127197633</v>
      </c>
      <c r="AN10" s="6">
        <f t="shared" si="6"/>
        <v>0.94318218126405728</v>
      </c>
      <c r="AO10" s="6">
        <f t="shared" si="7"/>
        <v>0.98855910127197633</v>
      </c>
    </row>
    <row r="11" spans="2:41" x14ac:dyDescent="0.25">
      <c r="E11" s="43" t="s">
        <v>235</v>
      </c>
      <c r="F11" s="6">
        <f>AVERAGE(F6:F10)</f>
        <v>2124</v>
      </c>
      <c r="T11" s="6">
        <f t="shared" ref="T11:T13" si="9">DAYS360("31-12-2009",U11)</f>
        <v>1301</v>
      </c>
      <c r="U11" s="5">
        <v>41497</v>
      </c>
      <c r="V11" s="6" t="s">
        <v>404</v>
      </c>
      <c r="W11" s="33">
        <f>7*24*60</f>
        <v>10080</v>
      </c>
      <c r="X11" s="6">
        <f>COUNT(W11)</f>
        <v>1</v>
      </c>
      <c r="Y11" s="6">
        <f>SUM(W11)</f>
        <v>10080</v>
      </c>
      <c r="Z11" s="6">
        <f>($F$14-Y11)/X11</f>
        <v>508320</v>
      </c>
      <c r="AA11" s="6">
        <f>INT(Z11/60/24)</f>
        <v>353</v>
      </c>
      <c r="AB11" s="6">
        <f>Y11/X11</f>
        <v>10080</v>
      </c>
      <c r="AC11" s="6">
        <f>Y11-W12</f>
        <v>0</v>
      </c>
      <c r="AD11" s="33">
        <f>SQRT((AC11*AC11)/COUNT(W11))</f>
        <v>0</v>
      </c>
      <c r="AE11" s="6">
        <f>X11/(365*5)</f>
        <v>5.4794520547945202E-4</v>
      </c>
      <c r="AF11" s="6">
        <f>AE11*EXP(-AE11*(365*5))</f>
        <v>2.0157777598435198E-4</v>
      </c>
      <c r="AG11" s="6">
        <f>1-EXP(-AE11*(365*5))</f>
        <v>0.63212055882855767</v>
      </c>
      <c r="AH11" s="6">
        <f>EXP(-AE11*(365*5))</f>
        <v>0.36787944117144239</v>
      </c>
      <c r="AI11" s="6">
        <f>$F$14/(Y11+$F$14)*100</f>
        <v>98.09264305177112</v>
      </c>
      <c r="AJ11">
        <f t="shared" si="8"/>
        <v>26</v>
      </c>
      <c r="AK11" s="6">
        <f t="shared" si="3"/>
        <v>0.8648048567383021</v>
      </c>
      <c r="AL11" s="6">
        <f t="shared" si="4"/>
        <v>0.93013699397969707</v>
      </c>
      <c r="AM11" s="6">
        <f t="shared" si="5"/>
        <v>0.98585442689778624</v>
      </c>
      <c r="AN11" s="6">
        <f t="shared" si="6"/>
        <v>0.93013699397969707</v>
      </c>
      <c r="AO11" s="6">
        <f t="shared" si="7"/>
        <v>0.98585442689778624</v>
      </c>
    </row>
    <row r="12" spans="2:41" x14ac:dyDescent="0.25">
      <c r="E12" s="43" t="s">
        <v>261</v>
      </c>
      <c r="F12" s="6">
        <f>(SUM(F6:F10))</f>
        <v>10620</v>
      </c>
      <c r="G12" t="s">
        <v>237</v>
      </c>
      <c r="T12" s="31"/>
      <c r="U12" s="31"/>
      <c r="V12" s="43" t="s">
        <v>235</v>
      </c>
      <c r="W12" s="6">
        <f>AVERAGE(W11)</f>
        <v>10080</v>
      </c>
      <c r="X12" s="31"/>
      <c r="Y12" s="31"/>
      <c r="Z12" s="31"/>
      <c r="AA12" s="31"/>
      <c r="AB12" s="31"/>
      <c r="AC12" s="31"/>
      <c r="AD12" s="31"/>
      <c r="AE12" s="31"/>
      <c r="AF12" s="31"/>
      <c r="AG12" s="31"/>
      <c r="AH12" s="31"/>
      <c r="AI12" s="31"/>
      <c r="AJ12">
        <f t="shared" si="8"/>
        <v>31</v>
      </c>
      <c r="AK12" s="6">
        <f t="shared" si="3"/>
        <v>0.84098255907484076</v>
      </c>
      <c r="AL12" s="6">
        <f t="shared" si="4"/>
        <v>0.9172722351583259</v>
      </c>
      <c r="AM12" s="6">
        <f t="shared" si="5"/>
        <v>0.98315715244886204</v>
      </c>
      <c r="AN12" s="6">
        <f t="shared" si="6"/>
        <v>0.9172722351583259</v>
      </c>
      <c r="AO12" s="6">
        <f t="shared" si="7"/>
        <v>0.98315715244886204</v>
      </c>
    </row>
    <row r="13" spans="2:41" x14ac:dyDescent="0.25">
      <c r="E13" s="43" t="s">
        <v>262</v>
      </c>
      <c r="F13" s="6">
        <f>60*24*30*12*5</f>
        <v>2592000</v>
      </c>
      <c r="G13" t="s">
        <v>237</v>
      </c>
      <c r="T13" s="6">
        <f t="shared" si="9"/>
        <v>738</v>
      </c>
      <c r="U13" s="5">
        <v>40926</v>
      </c>
      <c r="V13" s="6" t="s">
        <v>403</v>
      </c>
      <c r="W13" s="33">
        <v>30</v>
      </c>
      <c r="X13" s="6">
        <f>COUNT(W13)</f>
        <v>1</v>
      </c>
      <c r="Y13" s="6">
        <f>SUM(W13)</f>
        <v>30</v>
      </c>
      <c r="Z13" s="6">
        <f>($F$14-Y13)/X13</f>
        <v>518370</v>
      </c>
      <c r="AA13" s="6">
        <f>INT(Z13/60/24)</f>
        <v>359</v>
      </c>
      <c r="AB13" s="6">
        <f>Y13/X13</f>
        <v>30</v>
      </c>
      <c r="AC13" s="6">
        <f>Y13-W14</f>
        <v>0</v>
      </c>
      <c r="AD13" s="33">
        <f>SQRT((AC13*AC13)/COUNT(W13))</f>
        <v>0</v>
      </c>
      <c r="AE13" s="6">
        <f>1/AA13</f>
        <v>2.7855153203342618E-3</v>
      </c>
      <c r="AF13" s="6">
        <f>AE13*EXP(-AE13*(365*1))</f>
        <v>1.007749673042332E-3</v>
      </c>
      <c r="AG13" s="6">
        <f>1-EXP(-AE13*(365*1))</f>
        <v>0.63821786737780273</v>
      </c>
      <c r="AH13" s="6">
        <f>EXP(-AE13*(365*1))</f>
        <v>0.36178213262219722</v>
      </c>
      <c r="AI13" s="6">
        <f>$F$14/(Y13+$F$14)*100</f>
        <v>99.994213297841554</v>
      </c>
      <c r="AJ13">
        <f t="shared" si="8"/>
        <v>36</v>
      </c>
      <c r="AK13" s="6">
        <f t="shared" si="3"/>
        <v>0.81781648097530157</v>
      </c>
      <c r="AL13" s="6">
        <f t="shared" si="4"/>
        <v>0.9045854092872655</v>
      </c>
      <c r="AM13" s="6">
        <f t="shared" si="5"/>
        <v>0.98046725767918297</v>
      </c>
      <c r="AN13" s="6">
        <f t="shared" si="6"/>
        <v>0.9045854092872655</v>
      </c>
      <c r="AO13" s="6">
        <f t="shared" si="7"/>
        <v>0.98046725767918297</v>
      </c>
    </row>
    <row r="14" spans="2:41" x14ac:dyDescent="0.25">
      <c r="E14" s="43" t="s">
        <v>268</v>
      </c>
      <c r="F14" s="6">
        <v>518400</v>
      </c>
      <c r="G14" t="s">
        <v>237</v>
      </c>
      <c r="T14" s="31"/>
      <c r="U14" s="31"/>
      <c r="V14" s="43" t="s">
        <v>235</v>
      </c>
      <c r="W14" s="6">
        <f>AVERAGE(W13)</f>
        <v>30</v>
      </c>
      <c r="X14" s="31"/>
      <c r="Y14" s="31"/>
      <c r="Z14" s="31"/>
      <c r="AA14" s="31"/>
      <c r="AB14" s="31"/>
      <c r="AC14" s="31"/>
      <c r="AD14" s="31"/>
      <c r="AE14" s="31"/>
      <c r="AF14" s="31"/>
      <c r="AG14" s="31"/>
      <c r="AH14" s="31"/>
      <c r="AI14" s="31"/>
      <c r="AJ14">
        <f t="shared" si="8"/>
        <v>41</v>
      </c>
      <c r="AK14" s="6">
        <f t="shared" si="3"/>
        <v>0.79528854592489329</v>
      </c>
      <c r="AL14" s="6">
        <f t="shared" si="4"/>
        <v>0.89207405536936502</v>
      </c>
      <c r="AM14" s="6">
        <f t="shared" si="5"/>
        <v>0.97778472239812064</v>
      </c>
      <c r="AN14" s="6">
        <f t="shared" si="6"/>
        <v>0.89207405536936502</v>
      </c>
      <c r="AO14" s="6">
        <f t="shared" si="7"/>
        <v>0.97778472239812064</v>
      </c>
    </row>
    <row r="15" spans="2:41" x14ac:dyDescent="0.25">
      <c r="T15" s="6">
        <f>DAYS360("31-12-2009",U15)</f>
        <v>1103</v>
      </c>
      <c r="U15" s="5">
        <v>41297</v>
      </c>
      <c r="V15" s="6" t="s">
        <v>403</v>
      </c>
      <c r="W15" s="33">
        <v>120</v>
      </c>
      <c r="X15" s="6">
        <f>COUNT(W15)</f>
        <v>1</v>
      </c>
      <c r="Y15" s="6">
        <f>SUM(W15)</f>
        <v>120</v>
      </c>
      <c r="Z15" s="6">
        <f>($F$14-Y15)/X15</f>
        <v>518280</v>
      </c>
      <c r="AA15" s="6">
        <f>INT(Z15/60/24)</f>
        <v>359</v>
      </c>
      <c r="AB15" s="6">
        <f>Y15/X15</f>
        <v>120</v>
      </c>
      <c r="AC15" s="6">
        <f>Y15-W16</f>
        <v>0</v>
      </c>
      <c r="AD15" s="33">
        <f>SQRT((AC15*AC15)/COUNT(W15))</f>
        <v>0</v>
      </c>
      <c r="AE15" s="6">
        <f>X15/(365*5)</f>
        <v>5.4794520547945202E-4</v>
      </c>
      <c r="AF15" s="6">
        <f>AE15*EXP(-AE15*(365*5))</f>
        <v>2.0157777598435198E-4</v>
      </c>
      <c r="AG15" s="6">
        <f>1-EXP(-AE15*(365*5))</f>
        <v>0.63212055882855767</v>
      </c>
      <c r="AH15" s="6">
        <f>EXP(-AE15*(365*5))</f>
        <v>0.36787944117144239</v>
      </c>
      <c r="AI15" s="6">
        <f>$F$14/(Y15+$F$14)*100</f>
        <v>99.976857208979411</v>
      </c>
      <c r="AJ15">
        <f t="shared" si="8"/>
        <v>46</v>
      </c>
      <c r="AK15" s="6">
        <f t="shared" si="3"/>
        <v>0.77338117535250839</v>
      </c>
      <c r="AL15" s="6">
        <f t="shared" si="4"/>
        <v>0.87973574644561525</v>
      </c>
      <c r="AM15" s="6">
        <f t="shared" si="5"/>
        <v>0.97510952647028781</v>
      </c>
      <c r="AN15" s="6">
        <f t="shared" si="6"/>
        <v>0.87973574644561525</v>
      </c>
      <c r="AO15" s="6">
        <f t="shared" si="7"/>
        <v>0.97510952647028781</v>
      </c>
    </row>
    <row r="16" spans="2:41" x14ac:dyDescent="0.25">
      <c r="B16" s="32" t="s">
        <v>193</v>
      </c>
      <c r="E16" s="61"/>
      <c r="F16" s="11"/>
      <c r="T16" s="31"/>
      <c r="U16" s="31"/>
      <c r="V16" s="43" t="s">
        <v>235</v>
      </c>
      <c r="W16" s="6">
        <f>AVERAGE(W15)</f>
        <v>120</v>
      </c>
      <c r="X16" s="31"/>
      <c r="Y16" s="31"/>
      <c r="Z16" s="31"/>
      <c r="AA16" s="31"/>
      <c r="AB16" s="31"/>
      <c r="AC16" s="31"/>
      <c r="AD16" s="31"/>
      <c r="AE16" s="31"/>
      <c r="AF16" s="31"/>
      <c r="AG16" s="31"/>
      <c r="AH16" s="31"/>
      <c r="AI16" s="31"/>
      <c r="AJ16">
        <f t="shared" si="8"/>
        <v>51</v>
      </c>
      <c r="AK16" s="6">
        <f t="shared" si="3"/>
        <v>0.752077274914146</v>
      </c>
      <c r="AL16" s="6">
        <f t="shared" si="4"/>
        <v>0.867568089124366</v>
      </c>
      <c r="AM16" s="6">
        <f t="shared" si="5"/>
        <v>0.97244164981538739</v>
      </c>
      <c r="AN16" s="6">
        <f t="shared" si="6"/>
        <v>0.867568089124366</v>
      </c>
      <c r="AO16" s="6">
        <f t="shared" si="7"/>
        <v>0.97244164981538739</v>
      </c>
    </row>
    <row r="17" spans="2:41" x14ac:dyDescent="0.25">
      <c r="B17" t="s">
        <v>256</v>
      </c>
      <c r="AJ17">
        <f t="shared" si="8"/>
        <v>56</v>
      </c>
      <c r="AK17" s="6">
        <f t="shared" si="3"/>
        <v>0.73136022115417709</v>
      </c>
      <c r="AL17" s="6">
        <f t="shared" si="4"/>
        <v>0.85556872311705456</v>
      </c>
      <c r="AM17" s="6">
        <f t="shared" si="5"/>
        <v>0.96978107240806133</v>
      </c>
      <c r="AN17" s="6">
        <f t="shared" si="6"/>
        <v>0.85556872311705456</v>
      </c>
      <c r="AO17" s="6">
        <f t="shared" si="7"/>
        <v>0.96978107240806133</v>
      </c>
    </row>
    <row r="18" spans="2:41" x14ac:dyDescent="0.25">
      <c r="B18" t="s">
        <v>258</v>
      </c>
      <c r="AJ18">
        <f t="shared" si="8"/>
        <v>61</v>
      </c>
      <c r="AK18" s="6">
        <f t="shared" si="3"/>
        <v>0.71121384853404512</v>
      </c>
      <c r="AL18" s="6">
        <f t="shared" si="4"/>
        <v>0.84373532078035562</v>
      </c>
      <c r="AM18" s="6">
        <f t="shared" si="5"/>
        <v>0.96712777427774033</v>
      </c>
      <c r="AN18" s="6">
        <f t="shared" si="6"/>
        <v>0.84373532078035562</v>
      </c>
      <c r="AO18" s="6">
        <f t="shared" si="7"/>
        <v>0.96712777427774033</v>
      </c>
    </row>
    <row r="19" spans="2:41" x14ac:dyDescent="0.25">
      <c r="B19" t="s">
        <v>259</v>
      </c>
      <c r="AJ19">
        <f t="shared" si="8"/>
        <v>66</v>
      </c>
      <c r="AK19" s="6">
        <f t="shared" si="3"/>
        <v>0.69162243681827928</v>
      </c>
      <c r="AL19" s="6">
        <f t="shared" si="4"/>
        <v>0.83206558666466413</v>
      </c>
      <c r="AM19" s="6">
        <f t="shared" si="5"/>
        <v>0.96448173550849448</v>
      </c>
      <c r="AN19" s="6">
        <f t="shared" si="6"/>
        <v>0.83206558666466413</v>
      </c>
      <c r="AO19" s="6">
        <f t="shared" si="7"/>
        <v>0.96448173550849448</v>
      </c>
    </row>
    <row r="20" spans="2:41" x14ac:dyDescent="0.25">
      <c r="AJ20">
        <f t="shared" si="8"/>
        <v>71</v>
      </c>
      <c r="AK20" s="6">
        <f t="shared" si="3"/>
        <v>0.67257069880797882</v>
      </c>
      <c r="AL20" s="6">
        <f t="shared" si="4"/>
        <v>0.82055725706882254</v>
      </c>
      <c r="AM20" s="6">
        <f t="shared" si="5"/>
        <v>0.96184293623888306</v>
      </c>
      <c r="AN20" s="6">
        <f t="shared" si="6"/>
        <v>0.82055725706882254</v>
      </c>
      <c r="AO20" s="6">
        <f t="shared" si="7"/>
        <v>0.96184293623888306</v>
      </c>
    </row>
    <row r="21" spans="2:41" x14ac:dyDescent="0.25">
      <c r="B21" s="37" t="s">
        <v>209</v>
      </c>
      <c r="AJ21">
        <f t="shared" si="8"/>
        <v>76</v>
      </c>
      <c r="AK21" s="6">
        <f t="shared" si="3"/>
        <v>0.65404376841219558</v>
      </c>
      <c r="AL21" s="6">
        <f t="shared" si="4"/>
        <v>0.80920809960100692</v>
      </c>
      <c r="AM21" s="6">
        <f t="shared" si="5"/>
        <v>0.9592113566618059</v>
      </c>
      <c r="AN21" s="6">
        <f t="shared" si="6"/>
        <v>0.80920809960100692</v>
      </c>
      <c r="AO21" s="6">
        <f t="shared" si="7"/>
        <v>0.9592113566618059</v>
      </c>
    </row>
    <row r="22" spans="2:41" x14ac:dyDescent="0.25">
      <c r="B22" s="37" t="s">
        <v>210</v>
      </c>
      <c r="AJ22">
        <f t="shared" si="8"/>
        <v>81</v>
      </c>
      <c r="AK22" s="6">
        <f t="shared" si="3"/>
        <v>0.63602718904790756</v>
      </c>
      <c r="AL22" s="6">
        <f t="shared" si="4"/>
        <v>0.79801591274568617</v>
      </c>
      <c r="AM22" s="6">
        <f t="shared" si="5"/>
        <v>0.95658697702435458</v>
      </c>
      <c r="AN22" s="6">
        <f t="shared" si="6"/>
        <v>0.79801591274568617</v>
      </c>
      <c r="AO22" s="6">
        <f t="shared" si="7"/>
        <v>0.95658697702435458</v>
      </c>
    </row>
    <row r="23" spans="2:41" x14ac:dyDescent="0.25">
      <c r="B23" s="40" t="s">
        <v>222</v>
      </c>
      <c r="AJ23">
        <f t="shared" si="8"/>
        <v>86</v>
      </c>
      <c r="AK23" s="6">
        <f t="shared" si="3"/>
        <v>0.61850690235953287</v>
      </c>
      <c r="AL23" s="6">
        <f t="shared" si="4"/>
        <v>0.78697852543657143</v>
      </c>
      <c r="AM23" s="6">
        <f t="shared" si="5"/>
        <v>0.95396977762766422</v>
      </c>
      <c r="AN23" s="6">
        <f t="shared" si="6"/>
        <v>0.78697852543657143</v>
      </c>
      <c r="AO23" s="6">
        <f t="shared" si="7"/>
        <v>0.95396977762766422</v>
      </c>
    </row>
    <row r="24" spans="2:41" x14ac:dyDescent="0.25">
      <c r="B24" s="40" t="s">
        <v>232</v>
      </c>
      <c r="AJ24">
        <f t="shared" si="8"/>
        <v>91</v>
      </c>
      <c r="AK24" s="6">
        <f t="shared" si="3"/>
        <v>0.60146923724917967</v>
      </c>
      <c r="AL24" s="6">
        <f t="shared" si="4"/>
        <v>0.77609379663547085</v>
      </c>
      <c r="AM24" s="6">
        <f t="shared" si="5"/>
        <v>0.9513597388267655</v>
      </c>
      <c r="AN24" s="6">
        <f t="shared" si="6"/>
        <v>0.77609379663547085</v>
      </c>
      <c r="AO24" s="6">
        <f t="shared" si="7"/>
        <v>0.9513597388267655</v>
      </c>
    </row>
    <row r="25" spans="2:41" x14ac:dyDescent="0.25">
      <c r="B25" s="40"/>
      <c r="AJ25">
        <f t="shared" si="8"/>
        <v>96</v>
      </c>
      <c r="AK25" s="6">
        <f t="shared" si="3"/>
        <v>0.5849008992090744</v>
      </c>
      <c r="AL25" s="6">
        <f t="shared" si="4"/>
        <v>0.76535961491697058</v>
      </c>
      <c r="AM25" s="6">
        <f t="shared" si="5"/>
        <v>0.94875684103043745</v>
      </c>
      <c r="AN25" s="6">
        <f t="shared" si="6"/>
        <v>0.76535961491697058</v>
      </c>
      <c r="AO25" s="6">
        <f t="shared" si="7"/>
        <v>0.94875684103043745</v>
      </c>
    </row>
    <row r="26" spans="2:41" x14ac:dyDescent="0.25">
      <c r="B26" t="s">
        <v>234</v>
      </c>
      <c r="AJ26">
        <f t="shared" si="8"/>
        <v>101</v>
      </c>
      <c r="AK26" s="6">
        <f t="shared" si="3"/>
        <v>0.56878895994784373</v>
      </c>
      <c r="AL26" s="6">
        <f t="shared" si="4"/>
        <v>0.75477389805885875</v>
      </c>
      <c r="AM26" s="6">
        <f t="shared" si="5"/>
        <v>0.94616106470105976</v>
      </c>
      <c r="AN26" s="6">
        <f t="shared" si="6"/>
        <v>0.75477389805885875</v>
      </c>
      <c r="AO26" s="6">
        <f t="shared" si="7"/>
        <v>0.94616106470105976</v>
      </c>
    </row>
    <row r="27" spans="2:41" x14ac:dyDescent="0.25">
      <c r="AJ27">
        <f t="shared" si="8"/>
        <v>106</v>
      </c>
      <c r="AK27" s="6">
        <f t="shared" si="3"/>
        <v>0.5531208473025554</v>
      </c>
      <c r="AL27" s="6">
        <f t="shared" si="4"/>
        <v>0.74433459263821511</v>
      </c>
      <c r="AM27" s="6">
        <f t="shared" si="5"/>
        <v>0.94357239035446716</v>
      </c>
      <c r="AN27" s="6">
        <f t="shared" si="6"/>
        <v>0.74433459263821511</v>
      </c>
      <c r="AO27" s="6">
        <f t="shared" si="7"/>
        <v>0.94357239035446716</v>
      </c>
    </row>
    <row r="28" spans="2:41" x14ac:dyDescent="0.25">
      <c r="B28" t="s">
        <v>225</v>
      </c>
      <c r="AJ28">
        <f t="shared" si="8"/>
        <v>111</v>
      </c>
      <c r="AK28" s="6">
        <f t="shared" si="3"/>
        <v>0.53788433542864633</v>
      </c>
      <c r="AL28" s="6">
        <f t="shared" si="4"/>
        <v>0.73403967363308709</v>
      </c>
      <c r="AM28" s="6">
        <f t="shared" si="5"/>
        <v>0.94099079855980228</v>
      </c>
      <c r="AN28" s="6">
        <f t="shared" si="6"/>
        <v>0.73403967363308709</v>
      </c>
      <c r="AO28" s="6">
        <f t="shared" si="7"/>
        <v>0.94099079855980228</v>
      </c>
    </row>
    <row r="29" spans="2:41" x14ac:dyDescent="0.25">
      <c r="C29" t="s">
        <v>226</v>
      </c>
      <c r="AJ29">
        <f t="shared" si="8"/>
        <v>116</v>
      </c>
      <c r="AK29" s="6">
        <f t="shared" si="3"/>
        <v>0.52306753526008321</v>
      </c>
      <c r="AL29" s="6">
        <f t="shared" si="4"/>
        <v>0.7238871440296748</v>
      </c>
      <c r="AM29" s="6">
        <f t="shared" si="5"/>
        <v>0.93841626993937011</v>
      </c>
      <c r="AN29" s="6">
        <f t="shared" si="6"/>
        <v>0.7238871440296748</v>
      </c>
      <c r="AO29" s="6">
        <f t="shared" si="7"/>
        <v>0.93841626993937011</v>
      </c>
    </row>
    <row r="30" spans="2:41" x14ac:dyDescent="0.25">
      <c r="C30" t="s">
        <v>227</v>
      </c>
      <c r="AJ30">
        <f t="shared" si="8"/>
        <v>121</v>
      </c>
      <c r="AK30" s="6">
        <f t="shared" si="3"/>
        <v>0.50865888523231229</v>
      </c>
      <c r="AL30" s="6">
        <f t="shared" si="4"/>
        <v>0.7138750344349496</v>
      </c>
      <c r="AM30" s="6">
        <f t="shared" si="5"/>
        <v>0.93584878516849268</v>
      </c>
      <c r="AN30" s="6">
        <f t="shared" si="6"/>
        <v>0.7138750344349496</v>
      </c>
      <c r="AO30" s="6">
        <f t="shared" si="7"/>
        <v>0.93584878516849268</v>
      </c>
    </row>
    <row r="31" spans="2:41" x14ac:dyDescent="0.25">
      <c r="C31" t="s">
        <v>228</v>
      </c>
      <c r="AJ31">
        <f t="shared" si="8"/>
        <v>126</v>
      </c>
      <c r="AK31" s="6">
        <f t="shared" si="3"/>
        <v>0.4946471422607584</v>
      </c>
      <c r="AL31" s="6">
        <f t="shared" si="4"/>
        <v>0.70400140269462974</v>
      </c>
      <c r="AM31" s="6">
        <f t="shared" si="5"/>
        <v>0.93328832497536385</v>
      </c>
      <c r="AN31" s="6">
        <f t="shared" si="6"/>
        <v>0.70400140269462974</v>
      </c>
      <c r="AO31" s="6">
        <f t="shared" si="7"/>
        <v>0.93328832497536385</v>
      </c>
    </row>
    <row r="32" spans="2:41" x14ac:dyDescent="0.25">
      <c r="AJ32">
        <f t="shared" si="8"/>
        <v>131</v>
      </c>
      <c r="AK32" s="6">
        <f t="shared" si="3"/>
        <v>0.48102137296783437</v>
      </c>
      <c r="AL32" s="6">
        <f t="shared" si="4"/>
        <v>0.69426433351644024</v>
      </c>
      <c r="AM32" s="6">
        <f t="shared" si="5"/>
        <v>0.9307348701409045</v>
      </c>
      <c r="AN32" s="6">
        <f t="shared" si="6"/>
        <v>0.69426433351644024</v>
      </c>
      <c r="AO32" s="6">
        <f t="shared" si="7"/>
        <v>0.9307348701409045</v>
      </c>
    </row>
    <row r="33" spans="2:41" x14ac:dyDescent="0.25">
      <c r="B33" t="s">
        <v>229</v>
      </c>
      <c r="AJ33">
        <f t="shared" si="8"/>
        <v>136</v>
      </c>
      <c r="AK33" s="6">
        <f t="shared" si="3"/>
        <v>0.46777094515161527</v>
      </c>
      <c r="AL33" s="6">
        <f t="shared" si="4"/>
        <v>0.68466193809858422</v>
      </c>
      <c r="AM33" s="6">
        <f t="shared" si="5"/>
        <v>0.9281884014986187</v>
      </c>
      <c r="AN33" s="6">
        <f t="shared" si="6"/>
        <v>0.68466193809858422</v>
      </c>
      <c r="AO33" s="6">
        <f t="shared" si="7"/>
        <v>0.9281884014986187</v>
      </c>
    </row>
    <row r="34" spans="2:41" x14ac:dyDescent="0.25">
      <c r="AJ34">
        <f t="shared" si="8"/>
        <v>141</v>
      </c>
      <c r="AK34" s="6">
        <f t="shared" si="3"/>
        <v>0.45488551948951989</v>
      </c>
      <c r="AL34" s="6">
        <f t="shared" si="4"/>
        <v>0.67519235376335118</v>
      </c>
      <c r="AM34" s="6">
        <f t="shared" si="5"/>
        <v>0.92564889993444965</v>
      </c>
      <c r="AN34" s="6">
        <f t="shared" si="6"/>
        <v>0.67519235376335118</v>
      </c>
      <c r="AO34" s="6">
        <f t="shared" si="7"/>
        <v>0.92564889993444965</v>
      </c>
    </row>
    <row r="35" spans="2:41" x14ac:dyDescent="0.25">
      <c r="AJ35">
        <f t="shared" si="8"/>
        <v>146</v>
      </c>
      <c r="AK35" s="6">
        <f t="shared" si="3"/>
        <v>0.44235504147052696</v>
      </c>
      <c r="AL35" s="6">
        <f t="shared" si="4"/>
        <v>0.66585374359579441</v>
      </c>
      <c r="AM35" s="6">
        <f t="shared" si="5"/>
        <v>0.92311634638663576</v>
      </c>
      <c r="AN35" s="6">
        <f t="shared" si="6"/>
        <v>0.66585374359579441</v>
      </c>
      <c r="AO35" s="6">
        <f t="shared" si="7"/>
        <v>0.92311634638663576</v>
      </c>
    </row>
    <row r="36" spans="2:41" x14ac:dyDescent="0.25">
      <c r="AJ36">
        <f t="shared" si="8"/>
        <v>151</v>
      </c>
      <c r="AK36" s="6">
        <f t="shared" si="3"/>
        <v>0.43016973354962967</v>
      </c>
      <c r="AL36" s="6">
        <f t="shared" si="4"/>
        <v>0.65664429608740515</v>
      </c>
      <c r="AM36" s="6">
        <f t="shared" si="5"/>
        <v>0.92059072184556845</v>
      </c>
      <c r="AN36" s="6">
        <f t="shared" si="6"/>
        <v>0.65664429608740515</v>
      </c>
      <c r="AO36" s="6">
        <f t="shared" si="7"/>
        <v>0.92059072184556845</v>
      </c>
    </row>
    <row r="37" spans="2:41" x14ac:dyDescent="0.25">
      <c r="AJ37">
        <f t="shared" si="8"/>
        <v>156</v>
      </c>
      <c r="AK37" s="6">
        <f t="shared" si="3"/>
        <v>0.41832008751840699</v>
      </c>
      <c r="AL37" s="6">
        <f t="shared" si="4"/>
        <v>0.64756222478471492</v>
      </c>
      <c r="AM37" s="6">
        <f t="shared" si="5"/>
        <v>0.91807200735364869</v>
      </c>
      <c r="AN37" s="6">
        <f t="shared" si="6"/>
        <v>0.64756222478471492</v>
      </c>
      <c r="AO37" s="6">
        <f t="shared" si="7"/>
        <v>0.91807200735364869</v>
      </c>
    </row>
    <row r="38" spans="2:41" x14ac:dyDescent="0.25">
      <c r="AJ38">
        <f t="shared" si="8"/>
        <v>161</v>
      </c>
      <c r="AK38" s="6">
        <f t="shared" si="3"/>
        <v>0.40679685708575891</v>
      </c>
      <c r="AL38" s="6">
        <f t="shared" si="4"/>
        <v>0.63860576794275881</v>
      </c>
      <c r="AM38" s="6">
        <f t="shared" si="5"/>
        <v>0.91556018400514516</v>
      </c>
      <c r="AN38" s="6">
        <f t="shared" si="6"/>
        <v>0.63860576794275881</v>
      </c>
      <c r="AO38" s="6">
        <f t="shared" si="7"/>
        <v>0.91556018400514516</v>
      </c>
    </row>
    <row r="39" spans="2:41" x14ac:dyDescent="0.25">
      <c r="AJ39">
        <f t="shared" si="8"/>
        <v>166</v>
      </c>
      <c r="AK39" s="6">
        <f t="shared" si="3"/>
        <v>0.39559105066301581</v>
      </c>
      <c r="AL39" s="6">
        <f t="shared" si="4"/>
        <v>0.62977318818333095</v>
      </c>
      <c r="AM39" s="6">
        <f t="shared" si="5"/>
        <v>0.91305523294605184</v>
      </c>
      <c r="AN39" s="6">
        <f t="shared" si="6"/>
        <v>0.62977318818333095</v>
      </c>
      <c r="AO39" s="6">
        <f t="shared" si="7"/>
        <v>0.91305523294605184</v>
      </c>
    </row>
    <row r="40" spans="2:41" x14ac:dyDescent="0.25">
      <c r="AJ40">
        <f t="shared" si="8"/>
        <v>171</v>
      </c>
      <c r="AK40" s="6">
        <f t="shared" si="3"/>
        <v>0.38469392434779259</v>
      </c>
      <c r="AL40" s="6">
        <f t="shared" si="4"/>
        <v>0.62106277215796701</v>
      </c>
      <c r="AM40" s="6">
        <f t="shared" si="5"/>
        <v>0.91055713537394734</v>
      </c>
      <c r="AN40" s="6">
        <f t="shared" si="6"/>
        <v>0.62106277215796701</v>
      </c>
      <c r="AO40" s="6">
        <f t="shared" si="7"/>
        <v>0.91055713537394734</v>
      </c>
    </row>
    <row r="41" spans="2:41" x14ac:dyDescent="0.25">
      <c r="AJ41">
        <f t="shared" si="8"/>
        <v>176</v>
      </c>
      <c r="AK41" s="6">
        <f t="shared" si="3"/>
        <v>0.37409697510111256</v>
      </c>
      <c r="AL41" s="6">
        <f t="shared" si="4"/>
        <v>0.61247283021558807</v>
      </c>
      <c r="AM41" s="6">
        <f t="shared" si="5"/>
        <v>0.90806587253785276</v>
      </c>
      <c r="AN41" s="6">
        <f t="shared" si="6"/>
        <v>0.61247283021558807</v>
      </c>
      <c r="AO41" s="6">
        <f t="shared" si="7"/>
        <v>0.90806587253785276</v>
      </c>
    </row>
    <row r="42" spans="2:41" x14ac:dyDescent="0.25">
      <c r="AJ42">
        <f t="shared" si="8"/>
        <v>181</v>
      </c>
      <c r="AK42" s="6">
        <f t="shared" si="3"/>
        <v>0.36379193411247712</v>
      </c>
      <c r="AL42" s="6">
        <f t="shared" si="4"/>
        <v>0.60400169607474108</v>
      </c>
      <c r="AM42" s="6">
        <f t="shared" si="5"/>
        <v>0.90558142573809186</v>
      </c>
      <c r="AN42" s="6">
        <f t="shared" si="6"/>
        <v>0.60400169607474108</v>
      </c>
      <c r="AO42" s="6">
        <f t="shared" si="7"/>
        <v>0.90558142573809186</v>
      </c>
    </row>
    <row r="43" spans="2:41" x14ac:dyDescent="0.25">
      <c r="AJ43">
        <f t="shared" si="8"/>
        <v>186</v>
      </c>
      <c r="AK43" s="6">
        <f t="shared" si="3"/>
        <v>0.35377076034770455</v>
      </c>
      <c r="AL43" s="6">
        <f t="shared" si="4"/>
        <v>0.5956477265003729</v>
      </c>
      <c r="AM43" s="6">
        <f t="shared" si="5"/>
        <v>0.90310377632614991</v>
      </c>
      <c r="AN43" s="6">
        <f t="shared" si="6"/>
        <v>0.5956477265003729</v>
      </c>
      <c r="AO43" s="6">
        <f t="shared" si="7"/>
        <v>0.90310377632614991</v>
      </c>
    </row>
    <row r="44" spans="2:41" x14ac:dyDescent="0.25">
      <c r="AJ44">
        <f t="shared" si="8"/>
        <v>191</v>
      </c>
      <c r="AK44" s="6">
        <f t="shared" si="3"/>
        <v>0.34402563427450272</v>
      </c>
      <c r="AL44" s="6">
        <f t="shared" si="4"/>
        <v>0.58740930098507438</v>
      </c>
      <c r="AM44" s="6">
        <f t="shared" si="5"/>
        <v>0.90063290570453425</v>
      </c>
      <c r="AN44" s="6">
        <f t="shared" si="6"/>
        <v>0.58740930098507438</v>
      </c>
      <c r="AO44" s="6">
        <f t="shared" si="7"/>
        <v>0.90063290570453425</v>
      </c>
    </row>
    <row r="45" spans="2:41" x14ac:dyDescent="0.25">
      <c r="AJ45">
        <f t="shared" si="8"/>
        <v>196</v>
      </c>
      <c r="AK45" s="6">
        <f t="shared" si="3"/>
        <v>0.33454895176087951</v>
      </c>
      <c r="AL45" s="6">
        <f t="shared" si="4"/>
        <v>0.57928482143473381</v>
      </c>
      <c r="AM45" s="6">
        <f t="shared" si="5"/>
        <v>0.89816879532663463</v>
      </c>
      <c r="AN45" s="6">
        <f t="shared" si="6"/>
        <v>0.57928482143473381</v>
      </c>
      <c r="AO45" s="6">
        <f t="shared" si="7"/>
        <v>0.89816879532663463</v>
      </c>
    </row>
    <row r="46" spans="2:41" x14ac:dyDescent="0.25">
      <c r="AJ46">
        <f t="shared" si="8"/>
        <v>201</v>
      </c>
      <c r="AK46" s="6">
        <f t="shared" si="3"/>
        <v>0.32533331814163124</v>
      </c>
      <c r="AL46" s="6">
        <f t="shared" si="4"/>
        <v>0.57127271185853779</v>
      </c>
      <c r="AM46" s="6">
        <f t="shared" si="5"/>
        <v>0.89571142669658366</v>
      </c>
      <c r="AN46" s="6">
        <f t="shared" si="6"/>
        <v>0.57127271185853779</v>
      </c>
      <c r="AO46" s="6">
        <f t="shared" si="7"/>
        <v>0.89571142669658366</v>
      </c>
    </row>
    <row r="47" spans="2:41" x14ac:dyDescent="0.25">
      <c r="AJ47">
        <f t="shared" si="8"/>
        <v>206</v>
      </c>
      <c r="AK47" s="6">
        <f t="shared" si="3"/>
        <v>0.31637154244827759</v>
      </c>
      <c r="AL47" s="6">
        <f t="shared" si="4"/>
        <v>0.56337141806325919</v>
      </c>
      <c r="AM47" s="6">
        <f t="shared" si="5"/>
        <v>0.89326078136911824</v>
      </c>
      <c r="AN47" s="6">
        <f t="shared" si="6"/>
        <v>0.56337141806325919</v>
      </c>
      <c r="AO47" s="6">
        <f t="shared" si="7"/>
        <v>0.89326078136911824</v>
      </c>
    </row>
    <row r="48" spans="2:41" x14ac:dyDescent="0.25">
      <c r="AJ48">
        <f t="shared" si="8"/>
        <v>211</v>
      </c>
      <c r="AK48" s="6">
        <f t="shared" si="3"/>
        <v>0.30765663179794123</v>
      </c>
      <c r="AL48" s="6">
        <f t="shared" si="4"/>
        <v>0.5555794073517748</v>
      </c>
      <c r="AM48" s="6">
        <f t="shared" si="5"/>
        <v>0.89081684094944136</v>
      </c>
      <c r="AN48" s="6">
        <f t="shared" si="6"/>
        <v>0.5555794073517748</v>
      </c>
      <c r="AO48" s="6">
        <f t="shared" si="7"/>
        <v>0.89081684094944136</v>
      </c>
    </row>
    <row r="49" spans="36:41" x14ac:dyDescent="0.25">
      <c r="AJ49">
        <f t="shared" si="8"/>
        <v>216</v>
      </c>
      <c r="AK49" s="6">
        <f t="shared" si="3"/>
        <v>0.29918178593679412</v>
      </c>
      <c r="AL49" s="6">
        <f t="shared" si="4"/>
        <v>0.54789516822575102</v>
      </c>
      <c r="AM49" s="6">
        <f t="shared" si="5"/>
        <v>0.88837958709308329</v>
      </c>
      <c r="AN49" s="6">
        <f t="shared" si="6"/>
        <v>0.54789516822575102</v>
      </c>
      <c r="AO49" s="6">
        <f t="shared" si="7"/>
        <v>0.88837958709308329</v>
      </c>
    </row>
    <row r="50" spans="36:41" x14ac:dyDescent="0.25">
      <c r="AJ50">
        <f t="shared" si="8"/>
        <v>221</v>
      </c>
      <c r="AK50" s="6">
        <f t="shared" si="3"/>
        <v>0.29094039193381266</v>
      </c>
      <c r="AL50" s="6">
        <f t="shared" si="4"/>
        <v>0.54031721009244316</v>
      </c>
      <c r="AM50" s="6">
        <f t="shared" si="5"/>
        <v>0.88594900150576472</v>
      </c>
      <c r="AN50" s="6">
        <f t="shared" si="6"/>
        <v>0.54031721009244316</v>
      </c>
      <c r="AO50" s="6">
        <f t="shared" si="7"/>
        <v>0.88594900150576472</v>
      </c>
    </row>
    <row r="51" spans="36:41" x14ac:dyDescent="0.25">
      <c r="AJ51">
        <f t="shared" si="8"/>
        <v>226</v>
      </c>
      <c r="AK51" s="6">
        <f t="shared" si="3"/>
        <v>0.28292601902070036</v>
      </c>
      <c r="AL51" s="6">
        <f t="shared" si="4"/>
        <v>0.53284406297554965</v>
      </c>
      <c r="AM51" s="6">
        <f t="shared" si="5"/>
        <v>0.88352506594325886</v>
      </c>
      <c r="AN51" s="6">
        <f t="shared" si="6"/>
        <v>0.53284406297554965</v>
      </c>
      <c r="AO51" s="6">
        <f t="shared" si="7"/>
        <v>0.88352506594325886</v>
      </c>
    </row>
    <row r="52" spans="36:41" x14ac:dyDescent="0.25">
      <c r="AJ52">
        <f t="shared" si="8"/>
        <v>231</v>
      </c>
      <c r="AK52" s="6">
        <f t="shared" si="3"/>
        <v>0.27513241357395296</v>
      </c>
      <c r="AL52" s="6">
        <f t="shared" si="4"/>
        <v>0.52547427723006446</v>
      </c>
      <c r="AM52" s="6">
        <f t="shared" si="5"/>
        <v>0.88110776221125475</v>
      </c>
      <c r="AN52" s="6">
        <f t="shared" si="6"/>
        <v>0.52547427723006446</v>
      </c>
      <c r="AO52" s="6">
        <f t="shared" si="7"/>
        <v>0.88110776221125475</v>
      </c>
    </row>
    <row r="53" spans="36:41" x14ac:dyDescent="0.25">
      <c r="AJ53">
        <f t="shared" si="8"/>
        <v>236</v>
      </c>
      <c r="AK53" s="6">
        <f t="shared" si="3"/>
        <v>0.26755349423514935</v>
      </c>
      <c r="AL53" s="6">
        <f t="shared" si="4"/>
        <v>0.51820642326107513</v>
      </c>
      <c r="AM53" s="6">
        <f t="shared" si="5"/>
        <v>0.87869707216522064</v>
      </c>
      <c r="AN53" s="6">
        <f t="shared" si="6"/>
        <v>0.51820642326107513</v>
      </c>
      <c r="AO53" s="6">
        <f t="shared" si="7"/>
        <v>0.87869707216522064</v>
      </c>
    </row>
    <row r="54" spans="36:41" x14ac:dyDescent="0.25">
      <c r="AJ54">
        <f t="shared" si="8"/>
        <v>241</v>
      </c>
      <c r="AK54" s="6">
        <f t="shared" si="3"/>
        <v>0.26018334716566116</v>
      </c>
      <c r="AL54" s="6">
        <f t="shared" si="4"/>
        <v>0.51103909124644864</v>
      </c>
      <c r="AM54" s="6">
        <f t="shared" si="5"/>
        <v>0.87629297771026782</v>
      </c>
      <c r="AN54" s="6">
        <f t="shared" si="6"/>
        <v>0.51103909124644864</v>
      </c>
      <c r="AO54" s="6">
        <f t="shared" si="7"/>
        <v>0.87629297771026782</v>
      </c>
    </row>
    <row r="55" spans="36:41" x14ac:dyDescent="0.25">
      <c r="AJ55">
        <f t="shared" si="8"/>
        <v>246</v>
      </c>
      <c r="AK55" s="6">
        <f t="shared" si="3"/>
        <v>0.2530162214320788</v>
      </c>
      <c r="AL55" s="6">
        <f t="shared" si="4"/>
        <v>0.50397089086335345</v>
      </c>
      <c r="AM55" s="6">
        <f t="shared" si="5"/>
        <v>0.87389546080101455</v>
      </c>
      <c r="AN55" s="6">
        <f t="shared" si="6"/>
        <v>0.50397089086335345</v>
      </c>
      <c r="AO55" s="6">
        <f t="shared" si="7"/>
        <v>0.87389546080101455</v>
      </c>
    </row>
    <row r="56" spans="36:41" x14ac:dyDescent="0.25">
      <c r="AJ56">
        <f t="shared" si="8"/>
        <v>251</v>
      </c>
      <c r="AK56" s="6">
        <f t="shared" si="3"/>
        <v>0.24604652451875172</v>
      </c>
      <c r="AL56" s="6">
        <f t="shared" si="4"/>
        <v>0.4970004510185641</v>
      </c>
      <c r="AM56" s="6">
        <f t="shared" si="5"/>
        <v>0.87150450344145125</v>
      </c>
      <c r="AN56" s="6">
        <f t="shared" si="6"/>
        <v>0.4970004510185641</v>
      </c>
      <c r="AO56" s="6">
        <f t="shared" si="7"/>
        <v>0.87150450344145125</v>
      </c>
    </row>
    <row r="57" spans="36:41" x14ac:dyDescent="0.25">
      <c r="AJ57">
        <f t="shared" si="8"/>
        <v>256</v>
      </c>
      <c r="AK57" s="6">
        <f t="shared" si="3"/>
        <v>0.23926881796394273</v>
      </c>
      <c r="AL57" s="6">
        <f t="shared" si="4"/>
        <v>0.49012641958249575</v>
      </c>
      <c r="AM57" s="6">
        <f t="shared" si="5"/>
        <v>0.86912008768480453</v>
      </c>
      <c r="AN57" s="6">
        <f t="shared" si="6"/>
        <v>0.49012641958249575</v>
      </c>
      <c r="AO57" s="6">
        <f t="shared" si="7"/>
        <v>0.86912008768480453</v>
      </c>
    </row>
    <row r="58" spans="36:41" x14ac:dyDescent="0.25">
      <c r="AJ58">
        <f t="shared" si="8"/>
        <v>261</v>
      </c>
      <c r="AK58" s="6">
        <f t="shared" si="3"/>
        <v>0.23267781311619076</v>
      </c>
      <c r="AL58" s="6">
        <f t="shared" si="4"/>
        <v>0.48334746312691729</v>
      </c>
      <c r="AM58" s="6">
        <f t="shared" si="5"/>
        <v>0.86674219563340338</v>
      </c>
      <c r="AN58" s="6">
        <f t="shared" si="6"/>
        <v>0.48334746312691729</v>
      </c>
      <c r="AO58" s="6">
        <f t="shared" si="7"/>
        <v>0.86674219563340338</v>
      </c>
    </row>
    <row r="59" spans="36:41" x14ac:dyDescent="0.25">
      <c r="AJ59">
        <f t="shared" si="8"/>
        <v>266</v>
      </c>
      <c r="AK59" s="6">
        <f t="shared" si="3"/>
        <v>0.22626836700757058</v>
      </c>
      <c r="AL59" s="6">
        <f t="shared" si="4"/>
        <v>0.47666226666629236</v>
      </c>
      <c r="AM59" s="6">
        <f t="shared" si="5"/>
        <v>0.86437080943854394</v>
      </c>
      <c r="AN59" s="6">
        <f t="shared" si="6"/>
        <v>0.47666226666629236</v>
      </c>
      <c r="AO59" s="6">
        <f t="shared" si="7"/>
        <v>0.86437080943854394</v>
      </c>
    </row>
    <row r="60" spans="36:41" x14ac:dyDescent="0.25">
      <c r="AJ60">
        <f t="shared" si="8"/>
        <v>271</v>
      </c>
      <c r="AK60" s="6">
        <f t="shared" si="3"/>
        <v>0.22003547834062961</v>
      </c>
      <c r="AL60" s="6">
        <f t="shared" si="4"/>
        <v>0.47006953340269758</v>
      </c>
      <c r="AM60" s="6">
        <f t="shared" si="5"/>
        <v>0.86200591130035653</v>
      </c>
      <c r="AN60" s="6">
        <f t="shared" si="6"/>
        <v>0.47006953340269758</v>
      </c>
      <c r="AO60" s="6">
        <f t="shared" si="7"/>
        <v>0.86200591130035653</v>
      </c>
    </row>
    <row r="61" spans="36:41" x14ac:dyDescent="0.25">
      <c r="AJ61">
        <f t="shared" si="8"/>
        <v>276</v>
      </c>
      <c r="AK61" s="6">
        <f t="shared" si="3"/>
        <v>0.21397428358587031</v>
      </c>
      <c r="AL61" s="6">
        <f t="shared" si="4"/>
        <v>0.46356798447426928</v>
      </c>
      <c r="AM61" s="6">
        <f t="shared" si="5"/>
        <v>0.85964748346767084</v>
      </c>
      <c r="AN61" s="6">
        <f t="shared" si="6"/>
        <v>0.46356798447426928</v>
      </c>
      <c r="AO61" s="6">
        <f t="shared" si="7"/>
        <v>0.85964748346767084</v>
      </c>
    </row>
    <row r="62" spans="36:41" x14ac:dyDescent="0.25">
      <c r="AJ62">
        <f t="shared" si="8"/>
        <v>281</v>
      </c>
      <c r="AK62" s="6">
        <f t="shared" si="3"/>
        <v>0.20808005318673303</v>
      </c>
      <c r="AL62" s="6">
        <f t="shared" si="4"/>
        <v>0.45715635870712901</v>
      </c>
      <c r="AM62" s="6">
        <f t="shared" si="5"/>
        <v>0.85729550823788403</v>
      </c>
      <c r="AN62" s="6">
        <f t="shared" si="6"/>
        <v>0.45715635870712901</v>
      </c>
      <c r="AO62" s="6">
        <f t="shared" si="7"/>
        <v>0.85729550823788403</v>
      </c>
    </row>
    <row r="63" spans="36:41" x14ac:dyDescent="0.25">
      <c r="AJ63">
        <f t="shared" si="8"/>
        <v>286</v>
      </c>
      <c r="AK63" s="6">
        <f t="shared" si="3"/>
        <v>0.2023481878691181</v>
      </c>
      <c r="AL63" s="6">
        <f t="shared" si="4"/>
        <v>0.45083341237074037</v>
      </c>
      <c r="AM63" s="6">
        <f t="shared" si="5"/>
        <v>0.85494996795682665</v>
      </c>
      <c r="AN63" s="6">
        <f t="shared" si="6"/>
        <v>0.45083341237074037</v>
      </c>
      <c r="AO63" s="6">
        <f t="shared" si="7"/>
        <v>0.85494996795682665</v>
      </c>
    </row>
    <row r="64" spans="36:41" x14ac:dyDescent="0.25">
      <c r="AJ64">
        <f t="shared" si="8"/>
        <v>291</v>
      </c>
      <c r="AK64" s="6">
        <f t="shared" si="3"/>
        <v>0.19677421505256759</v>
      </c>
      <c r="AL64" s="6">
        <f t="shared" si="4"/>
        <v>0.44459791893664952</v>
      </c>
      <c r="AM64" s="6">
        <f t="shared" si="5"/>
        <v>0.85261084501863094</v>
      </c>
      <c r="AN64" s="6">
        <f t="shared" si="6"/>
        <v>0.44459791893664952</v>
      </c>
      <c r="AO64" s="6">
        <f t="shared" si="7"/>
        <v>0.85261084501863094</v>
      </c>
    </row>
    <row r="65" spans="36:41" x14ac:dyDescent="0.25">
      <c r="AJ65">
        <f t="shared" si="8"/>
        <v>296</v>
      </c>
      <c r="AK65" s="6">
        <f t="shared" si="3"/>
        <v>0.19135378536030612</v>
      </c>
      <c r="AL65" s="6">
        <f t="shared" si="4"/>
        <v>0.43844866884056272</v>
      </c>
      <c r="AM65" s="6">
        <f t="shared" si="5"/>
        <v>0.85027812186559804</v>
      </c>
      <c r="AN65" s="6">
        <f t="shared" si="6"/>
        <v>0.43844866884056272</v>
      </c>
      <c r="AO65" s="6">
        <f t="shared" si="7"/>
        <v>0.85027812186559804</v>
      </c>
    </row>
    <row r="66" spans="36:41" x14ac:dyDescent="0.25">
      <c r="AJ66">
        <f t="shared" si="8"/>
        <v>301</v>
      </c>
      <c r="AK66" s="6">
        <f t="shared" si="3"/>
        <v>0.1860826692254175</v>
      </c>
      <c r="AL66" s="6">
        <f t="shared" si="4"/>
        <v>0.43238446924771412</v>
      </c>
      <c r="AM66" s="6">
        <f t="shared" si="5"/>
        <v>0.84795178098806701</v>
      </c>
      <c r="AN66" s="6">
        <f t="shared" si="6"/>
        <v>0.43238446924771412</v>
      </c>
      <c r="AO66" s="6">
        <f t="shared" si="7"/>
        <v>0.84795178098806701</v>
      </c>
    </row>
    <row r="67" spans="36:41" x14ac:dyDescent="0.25">
      <c r="AJ67">
        <f t="shared" si="8"/>
        <v>306</v>
      </c>
      <c r="AK67" s="6">
        <f t="shared" si="3"/>
        <v>0.18095675359050942</v>
      </c>
      <c r="AL67" s="6">
        <f t="shared" si="4"/>
        <v>0.42640414382147923</v>
      </c>
      <c r="AM67" s="6">
        <f t="shared" si="5"/>
        <v>0.84563180492428247</v>
      </c>
      <c r="AN67" s="6">
        <f t="shared" si="6"/>
        <v>0.42640414382147923</v>
      </c>
      <c r="AO67" s="6">
        <f t="shared" si="7"/>
        <v>0.84563180492428247</v>
      </c>
    </row>
    <row r="68" spans="36:41" x14ac:dyDescent="0.25">
      <c r="AJ68">
        <f t="shared" si="8"/>
        <v>311</v>
      </c>
      <c r="AK68" s="6">
        <f t="shared" si="3"/>
        <v>0.1759720386982904</v>
      </c>
      <c r="AL68" s="6">
        <f t="shared" si="4"/>
        <v>0.42050653249518855</v>
      </c>
      <c r="AM68" s="6">
        <f t="shared" si="5"/>
        <v>0.8433181762602644</v>
      </c>
      <c r="AN68" s="6">
        <f t="shared" si="6"/>
        <v>0.42050653249518855</v>
      </c>
      <c r="AO68" s="6">
        <f t="shared" si="7"/>
        <v>0.8433181762602644</v>
      </c>
    </row>
    <row r="69" spans="36:41" x14ac:dyDescent="0.25">
      <c r="AJ69">
        <f t="shared" si="8"/>
        <v>316</v>
      </c>
      <c r="AK69" s="6">
        <f t="shared" si="3"/>
        <v>0.17112463497055513</v>
      </c>
      <c r="AL69" s="6">
        <f t="shared" si="4"/>
        <v>0.41469049124709711</v>
      </c>
      <c r="AM69" s="6">
        <f t="shared" si="5"/>
        <v>0.84101087762967663</v>
      </c>
      <c r="AN69" s="6">
        <f t="shared" si="6"/>
        <v>0.41469049124709711</v>
      </c>
      <c r="AO69" s="6">
        <f t="shared" si="7"/>
        <v>0.84101087762967663</v>
      </c>
    </row>
    <row r="70" spans="36:41" x14ac:dyDescent="0.25">
      <c r="AJ70">
        <f t="shared" si="8"/>
        <v>321</v>
      </c>
      <c r="AK70" s="6">
        <f t="shared" si="3"/>
        <v>0.16641075997314245</v>
      </c>
      <c r="AL70" s="6">
        <f t="shared" si="4"/>
        <v>0.40895489187846656</v>
      </c>
      <c r="AM70" s="6">
        <f t="shared" si="5"/>
        <v>0.83870989171369714</v>
      </c>
      <c r="AN70" s="6">
        <f t="shared" si="6"/>
        <v>0.40895489187846656</v>
      </c>
      <c r="AO70" s="6">
        <f t="shared" si="7"/>
        <v>0.83870989171369714</v>
      </c>
    </row>
    <row r="71" spans="36:41" x14ac:dyDescent="0.25">
      <c r="AJ71">
        <f t="shared" si="8"/>
        <v>326</v>
      </c>
      <c r="AK71" s="6">
        <f t="shared" ref="AK71:AK79" si="10">EXP(-$AE$7*(AJ71))</f>
        <v>0.16182673546449816</v>
      </c>
      <c r="AL71" s="6">
        <f t="shared" ref="AL71:AL79" si="11">EXP(-$AE$9*(AJ71))</f>
        <v>0.40329862179471665</v>
      </c>
      <c r="AM71" s="6">
        <f t="shared" ref="AM71:AM79" si="12">EXP(-$AE$11*(AJ71))</f>
        <v>0.83641520124088775</v>
      </c>
      <c r="AN71" s="6">
        <f t="shared" ref="AN71:AN79" si="13">EXP(-$AE$13*(AJ71))</f>
        <v>0.40329862179471665</v>
      </c>
      <c r="AO71" s="6">
        <f t="shared" ref="AO71:AO79" si="14">EXP(-$AE$15*(AJ71))</f>
        <v>0.83641520124088775</v>
      </c>
    </row>
    <row r="72" spans="36:41" x14ac:dyDescent="0.25">
      <c r="AJ72">
        <f t="shared" ref="AJ72:AJ79" si="15">AJ71+5</f>
        <v>331</v>
      </c>
      <c r="AK72" s="6">
        <f t="shared" si="10"/>
        <v>0.15736898452553913</v>
      </c>
      <c r="AL72" s="6">
        <f t="shared" si="11"/>
        <v>0.39772058378960357</v>
      </c>
      <c r="AM72" s="6">
        <f t="shared" si="12"/>
        <v>0.83412678898706449</v>
      </c>
      <c r="AN72" s="6">
        <f t="shared" si="13"/>
        <v>0.39772058378960357</v>
      </c>
      <c r="AO72" s="6">
        <f t="shared" si="14"/>
        <v>0.83412678898706449</v>
      </c>
    </row>
    <row r="73" spans="36:41" x14ac:dyDescent="0.25">
      <c r="AJ73">
        <f t="shared" si="15"/>
        <v>336</v>
      </c>
      <c r="AK73" s="6">
        <f t="shared" si="10"/>
        <v>0.15303402876857986</v>
      </c>
      <c r="AL73" s="6">
        <f t="shared" si="11"/>
        <v>0.39221969583238303</v>
      </c>
      <c r="AM73" s="6">
        <f t="shared" si="12"/>
        <v>0.83184463777516837</v>
      </c>
      <c r="AN73" s="6">
        <f t="shared" si="13"/>
        <v>0.39221969583238303</v>
      </c>
      <c r="AO73" s="6">
        <f t="shared" si="14"/>
        <v>0.83184463777516837</v>
      </c>
    </row>
    <row r="74" spans="36:41" x14ac:dyDescent="0.25">
      <c r="AJ74">
        <f t="shared" si="15"/>
        <v>341</v>
      </c>
      <c r="AK74" s="6">
        <f t="shared" si="10"/>
        <v>0.14881848562314282</v>
      </c>
      <c r="AL74" s="6">
        <f t="shared" si="11"/>
        <v>0.38679489085791779</v>
      </c>
      <c r="AM74" s="6">
        <f t="shared" si="12"/>
        <v>0.82956873047513635</v>
      </c>
      <c r="AN74" s="6">
        <f t="shared" si="13"/>
        <v>0.38679489085791779</v>
      </c>
      <c r="AO74" s="6">
        <f t="shared" si="14"/>
        <v>0.82956873047513635</v>
      </c>
    </row>
    <row r="75" spans="36:41" x14ac:dyDescent="0.25">
      <c r="AJ75">
        <f t="shared" si="15"/>
        <v>346</v>
      </c>
      <c r="AK75" s="6">
        <f t="shared" si="10"/>
        <v>0.14471906569653517</v>
      </c>
      <c r="AL75" s="6">
        <f t="shared" si="11"/>
        <v>0.38144511655968755</v>
      </c>
      <c r="AM75" s="6">
        <f t="shared" si="12"/>
        <v>0.82729905000377302</v>
      </c>
      <c r="AN75" s="6">
        <f t="shared" si="13"/>
        <v>0.38144511655968755</v>
      </c>
      <c r="AO75" s="6">
        <f t="shared" si="14"/>
        <v>0.82729905000377302</v>
      </c>
    </row>
    <row r="76" spans="36:41" x14ac:dyDescent="0.25">
      <c r="AJ76">
        <f t="shared" si="15"/>
        <v>351</v>
      </c>
      <c r="AK76" s="6">
        <f t="shared" si="10"/>
        <v>0.14073257020713237</v>
      </c>
      <c r="AL76" s="6">
        <f t="shared" si="11"/>
        <v>0.37616933518566198</v>
      </c>
      <c r="AM76" s="6">
        <f t="shared" si="12"/>
        <v>0.8250355793246219</v>
      </c>
      <c r="AN76" s="6">
        <f t="shared" si="13"/>
        <v>0.37616933518566198</v>
      </c>
      <c r="AO76" s="6">
        <f t="shared" si="14"/>
        <v>0.8250355793246219</v>
      </c>
    </row>
    <row r="77" spans="36:41" x14ac:dyDescent="0.25">
      <c r="AJ77">
        <f t="shared" si="15"/>
        <v>356</v>
      </c>
      <c r="AK77" s="6">
        <f t="shared" si="10"/>
        <v>0.13685588848836538</v>
      </c>
      <c r="AL77" s="6">
        <f t="shared" si="11"/>
        <v>0.37096652333699709</v>
      </c>
      <c r="AM77" s="6">
        <f t="shared" si="12"/>
        <v>0.82277830144783826</v>
      </c>
      <c r="AN77" s="6">
        <f t="shared" si="13"/>
        <v>0.37096652333699709</v>
      </c>
      <c r="AO77" s="6">
        <f t="shared" si="14"/>
        <v>0.82277830144783826</v>
      </c>
    </row>
    <row r="78" spans="36:41" x14ac:dyDescent="0.25">
      <c r="AJ78">
        <f t="shared" si="15"/>
        <v>361</v>
      </c>
      <c r="AK78" s="6">
        <f t="shared" si="10"/>
        <v>0.13308599556146444</v>
      </c>
      <c r="AL78" s="6">
        <f t="shared" si="11"/>
        <v>0.36583567176951587</v>
      </c>
      <c r="AM78" s="6">
        <f t="shared" si="12"/>
        <v>0.82052719943006081</v>
      </c>
      <c r="AN78" s="6">
        <f t="shared" si="13"/>
        <v>0.36583567176951587</v>
      </c>
      <c r="AO78" s="6">
        <f t="shared" si="14"/>
        <v>0.82052719943006081</v>
      </c>
    </row>
    <row r="79" spans="36:41" x14ac:dyDescent="0.25">
      <c r="AJ79">
        <f t="shared" si="15"/>
        <v>366</v>
      </c>
      <c r="AK79" s="6">
        <f t="shared" si="10"/>
        <v>0.12941994977506494</v>
      </c>
      <c r="AL79" s="6">
        <f t="shared" si="11"/>
        <v>0.36077578519793424</v>
      </c>
      <c r="AM79" s="6">
        <f t="shared" si="12"/>
        <v>0.81828225637428498</v>
      </c>
      <c r="AN79" s="6">
        <f t="shared" si="13"/>
        <v>0.36077578519793424</v>
      </c>
      <c r="AO79" s="6">
        <f t="shared" si="14"/>
        <v>0.81828225637428498</v>
      </c>
    </row>
    <row r="80" spans="36:41" x14ac:dyDescent="0.25">
      <c r="AK80" s="11"/>
      <c r="AL80" s="11"/>
      <c r="AM80" s="11"/>
      <c r="AN80" s="60"/>
      <c r="AO80" s="60"/>
    </row>
    <row r="81" spans="37:41" x14ac:dyDescent="0.25">
      <c r="AK81" s="11"/>
      <c r="AL81" s="11"/>
      <c r="AM81" s="11"/>
      <c r="AN81" s="11"/>
      <c r="AO81" s="11"/>
    </row>
    <row r="82" spans="37:41" x14ac:dyDescent="0.25">
      <c r="AK82" s="11"/>
      <c r="AL82" s="11"/>
      <c r="AM82" s="11"/>
      <c r="AN82" s="11"/>
      <c r="AO82" s="11"/>
    </row>
    <row r="83" spans="37:41" x14ac:dyDescent="0.25">
      <c r="AK83" s="11"/>
      <c r="AL83" s="11"/>
      <c r="AM83" s="11"/>
      <c r="AN83" s="11"/>
      <c r="AO83" s="11"/>
    </row>
    <row r="84" spans="37:41" x14ac:dyDescent="0.25">
      <c r="AK84" s="11"/>
      <c r="AL84" s="11"/>
      <c r="AM84" s="11"/>
      <c r="AN84" s="11"/>
      <c r="AO84" s="11"/>
    </row>
    <row r="85" spans="37:41" x14ac:dyDescent="0.25">
      <c r="AK85" s="11"/>
      <c r="AL85" s="11"/>
      <c r="AM85" s="11"/>
      <c r="AN85" s="11"/>
      <c r="AO85" s="11"/>
    </row>
    <row r="86" spans="37:41" x14ac:dyDescent="0.25">
      <c r="AK86" s="11"/>
      <c r="AL86" s="11"/>
      <c r="AM86" s="11"/>
      <c r="AN86" s="11"/>
      <c r="AO86" s="11"/>
    </row>
    <row r="87" spans="37:41" x14ac:dyDescent="0.25">
      <c r="AK87" s="11"/>
      <c r="AL87" s="11"/>
      <c r="AM87" s="11"/>
      <c r="AN87" s="11"/>
      <c r="AO87" s="11"/>
    </row>
    <row r="88" spans="37:41" x14ac:dyDescent="0.25">
      <c r="AK88" s="11"/>
      <c r="AL88" s="11"/>
      <c r="AM88" s="11"/>
      <c r="AN88" s="11"/>
      <c r="AO88" s="11"/>
    </row>
  </sheetData>
  <sheetProtection sheet="1" objects="1" scenarios="1"/>
  <mergeCells count="4">
    <mergeCell ref="B2:R3"/>
    <mergeCell ref="T2:AI3"/>
    <mergeCell ref="AK3:AM3"/>
    <mergeCell ref="AN3:AO3"/>
  </mergeCells>
  <pageMargins left="0.7" right="0.7" top="0.75" bottom="0.75" header="0.3" footer="0.3"/>
  <drawing r:id="rId1"/>
  <legacy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2:O20"/>
  <sheetViews>
    <sheetView zoomScale="85" zoomScaleNormal="85" workbookViewId="0"/>
  </sheetViews>
  <sheetFormatPr defaultRowHeight="15" x14ac:dyDescent="0.25"/>
  <cols>
    <col min="1" max="1" width="3.140625" customWidth="1"/>
    <col min="2" max="3" width="10.42578125" bestFit="1" customWidth="1"/>
    <col min="4" max="4" width="21.42578125" bestFit="1" customWidth="1"/>
    <col min="6" max="6" width="19.28515625" bestFit="1" customWidth="1"/>
    <col min="7" max="7" width="19.140625" bestFit="1" customWidth="1"/>
    <col min="8" max="8" width="18.140625" bestFit="1" customWidth="1"/>
  </cols>
  <sheetData>
    <row r="2" spans="2:15" ht="15" customHeight="1" x14ac:dyDescent="0.25">
      <c r="B2" s="123" t="s">
        <v>411</v>
      </c>
      <c r="C2" s="123"/>
      <c r="D2" s="123"/>
      <c r="E2" s="123"/>
      <c r="F2" s="123"/>
      <c r="G2" s="123"/>
      <c r="H2" s="123"/>
    </row>
    <row r="3" spans="2:15" x14ac:dyDescent="0.25">
      <c r="B3" s="123"/>
      <c r="C3" s="123"/>
      <c r="D3" s="123"/>
      <c r="E3" s="123"/>
      <c r="F3" s="123"/>
      <c r="G3" s="123"/>
      <c r="H3" s="123"/>
      <c r="J3" s="130" t="s">
        <v>292</v>
      </c>
      <c r="K3" s="130"/>
      <c r="L3" s="130"/>
      <c r="M3" s="130" t="s">
        <v>292</v>
      </c>
      <c r="N3" s="130"/>
      <c r="O3" s="130"/>
    </row>
    <row r="4" spans="2:15" x14ac:dyDescent="0.25">
      <c r="B4" s="7" t="s">
        <v>165</v>
      </c>
      <c r="C4" s="7" t="s">
        <v>5</v>
      </c>
      <c r="D4" s="7" t="s">
        <v>197</v>
      </c>
      <c r="E4" s="7" t="s">
        <v>185</v>
      </c>
      <c r="F4" s="7" t="s">
        <v>278</v>
      </c>
      <c r="G4" s="7" t="s">
        <v>282</v>
      </c>
      <c r="H4" s="7" t="s">
        <v>280</v>
      </c>
      <c r="J4" s="131" t="s">
        <v>6</v>
      </c>
      <c r="K4" s="131"/>
      <c r="L4" s="131"/>
      <c r="M4" s="131" t="s">
        <v>359</v>
      </c>
      <c r="N4" s="131"/>
      <c r="O4" s="131"/>
    </row>
    <row r="5" spans="2:15" x14ac:dyDescent="0.25">
      <c r="B5" s="8"/>
      <c r="C5" s="9"/>
      <c r="D5" s="9"/>
      <c r="E5" s="9" t="s">
        <v>187</v>
      </c>
      <c r="F5" s="9" t="s">
        <v>199</v>
      </c>
      <c r="G5" s="9" t="s">
        <v>281</v>
      </c>
      <c r="H5" s="9" t="s">
        <v>283</v>
      </c>
      <c r="J5" s="82" t="s">
        <v>286</v>
      </c>
      <c r="K5" s="82" t="s">
        <v>284</v>
      </c>
      <c r="L5" s="82" t="s">
        <v>287</v>
      </c>
      <c r="M5" s="82" t="s">
        <v>286</v>
      </c>
      <c r="N5" s="82" t="s">
        <v>284</v>
      </c>
      <c r="O5" s="82" t="s">
        <v>287</v>
      </c>
    </row>
    <row r="6" spans="2:15" x14ac:dyDescent="0.25">
      <c r="B6" s="6">
        <f>DAYS360("31-12-2009",C6)</f>
        <v>206</v>
      </c>
      <c r="C6" s="5">
        <v>40385</v>
      </c>
      <c r="D6" s="6" t="s">
        <v>404</v>
      </c>
      <c r="E6" s="34">
        <v>180</v>
      </c>
      <c r="F6" s="79" t="s">
        <v>279</v>
      </c>
      <c r="G6" s="79" t="s">
        <v>279</v>
      </c>
      <c r="H6" s="79" t="s">
        <v>279</v>
      </c>
      <c r="J6" s="83" t="s">
        <v>293</v>
      </c>
      <c r="K6" s="83" t="s">
        <v>293</v>
      </c>
      <c r="L6" s="83" t="s">
        <v>293</v>
      </c>
      <c r="M6" s="83" t="s">
        <v>293</v>
      </c>
      <c r="N6" s="83" t="s">
        <v>293</v>
      </c>
      <c r="O6" s="83" t="s">
        <v>293</v>
      </c>
    </row>
    <row r="7" spans="2:15" x14ac:dyDescent="0.25">
      <c r="B7" s="6">
        <f>DAYS360("31-12-2009",C7)</f>
        <v>290</v>
      </c>
      <c r="C7" s="5">
        <v>40471</v>
      </c>
      <c r="D7" s="6" t="s">
        <v>404</v>
      </c>
      <c r="E7" s="34">
        <v>60</v>
      </c>
      <c r="F7" s="6">
        <f>C7-C6</f>
        <v>86</v>
      </c>
      <c r="G7" s="6">
        <v>86</v>
      </c>
      <c r="H7" s="6">
        <v>86</v>
      </c>
      <c r="J7" s="6">
        <v>86</v>
      </c>
      <c r="K7" s="6">
        <v>1</v>
      </c>
      <c r="L7" s="83">
        <f>($L$11-K7+0.625)/($L$11+0.25)</f>
        <v>0.80769230769230771</v>
      </c>
      <c r="M7" s="6">
        <v>371</v>
      </c>
      <c r="N7" s="6">
        <v>1</v>
      </c>
      <c r="O7" s="83">
        <f>($O$9-N7+0.625)/($O$9+0.25)</f>
        <v>0.5</v>
      </c>
    </row>
    <row r="8" spans="2:15" x14ac:dyDescent="0.25">
      <c r="B8" s="6">
        <f>DAYS360("31-12-2009",C8)</f>
        <v>738</v>
      </c>
      <c r="C8" s="5">
        <v>40926</v>
      </c>
      <c r="D8" s="6" t="s">
        <v>404</v>
      </c>
      <c r="E8" s="33">
        <v>150</v>
      </c>
      <c r="F8" s="6">
        <f t="shared" ref="F8:F11" si="0">C8-C7</f>
        <v>455</v>
      </c>
      <c r="G8" s="6">
        <v>455</v>
      </c>
      <c r="H8" s="6">
        <v>455</v>
      </c>
      <c r="J8" s="6">
        <v>455</v>
      </c>
      <c r="K8" s="6">
        <v>2</v>
      </c>
      <c r="L8" s="83">
        <f>($L$11-K8+0.625)/($L$11+0.25)</f>
        <v>0.5</v>
      </c>
    </row>
    <row r="9" spans="2:15" x14ac:dyDescent="0.25">
      <c r="B9" s="6">
        <f t="shared" ref="B9:B10" si="1">DAYS360("31-12-2009",C9)</f>
        <v>1301</v>
      </c>
      <c r="C9" s="5">
        <v>41497</v>
      </c>
      <c r="D9" s="6" t="s">
        <v>404</v>
      </c>
      <c r="E9" s="33">
        <f>7*24*60</f>
        <v>10080</v>
      </c>
      <c r="F9" s="6">
        <f t="shared" si="0"/>
        <v>571</v>
      </c>
      <c r="G9" s="6">
        <v>571</v>
      </c>
      <c r="H9" s="6">
        <v>571</v>
      </c>
      <c r="J9" s="6">
        <v>571</v>
      </c>
      <c r="K9" s="6">
        <v>3</v>
      </c>
      <c r="L9" s="83">
        <f>($L$11-K9+0.625)/($L$11+0.25)</f>
        <v>0.19230769230769232</v>
      </c>
      <c r="N9" s="80" t="s">
        <v>285</v>
      </c>
      <c r="O9" s="81">
        <f>COUNT(N7)</f>
        <v>1</v>
      </c>
    </row>
    <row r="10" spans="2:15" x14ac:dyDescent="0.25">
      <c r="B10" s="6">
        <f t="shared" si="1"/>
        <v>738</v>
      </c>
      <c r="C10" s="5">
        <v>40926</v>
      </c>
      <c r="D10" s="6" t="s">
        <v>403</v>
      </c>
      <c r="E10" s="33">
        <v>30</v>
      </c>
      <c r="F10" s="79" t="s">
        <v>279</v>
      </c>
      <c r="G10" s="79" t="s">
        <v>279</v>
      </c>
      <c r="H10" s="79" t="s">
        <v>279</v>
      </c>
    </row>
    <row r="11" spans="2:15" x14ac:dyDescent="0.25">
      <c r="B11" s="6">
        <f>DAYS360("31-12-2009",C11)</f>
        <v>1103</v>
      </c>
      <c r="C11" s="5">
        <v>41297</v>
      </c>
      <c r="D11" s="6" t="s">
        <v>403</v>
      </c>
      <c r="E11" s="33">
        <v>120</v>
      </c>
      <c r="F11" s="6">
        <f t="shared" si="0"/>
        <v>371</v>
      </c>
      <c r="G11" s="6">
        <v>371</v>
      </c>
      <c r="H11" s="6">
        <v>371</v>
      </c>
      <c r="K11" s="80" t="s">
        <v>285</v>
      </c>
      <c r="L11" s="81">
        <f>COUNT(K7:K9)</f>
        <v>3</v>
      </c>
    </row>
    <row r="13" spans="2:15" x14ac:dyDescent="0.25">
      <c r="J13" t="s">
        <v>294</v>
      </c>
    </row>
    <row r="15" spans="2:15" x14ac:dyDescent="0.25">
      <c r="J15" t="s">
        <v>288</v>
      </c>
    </row>
    <row r="17" spans="10:10" x14ac:dyDescent="0.25">
      <c r="J17" t="s">
        <v>289</v>
      </c>
    </row>
    <row r="19" spans="10:10" x14ac:dyDescent="0.25">
      <c r="J19" t="s">
        <v>290</v>
      </c>
    </row>
    <row r="20" spans="10:10" x14ac:dyDescent="0.25">
      <c r="J20" t="s">
        <v>291</v>
      </c>
    </row>
  </sheetData>
  <sheetProtection sheet="1" objects="1" scenarios="1"/>
  <mergeCells count="5">
    <mergeCell ref="J4:L4"/>
    <mergeCell ref="M4:O4"/>
    <mergeCell ref="B2:H3"/>
    <mergeCell ref="J3:L3"/>
    <mergeCell ref="M3:O3"/>
  </mergeCells>
  <pageMargins left="0.7" right="0.7" top="0.75" bottom="0.75" header="0.3" footer="0.3"/>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2:P20"/>
  <sheetViews>
    <sheetView zoomScale="85" zoomScaleNormal="85" workbookViewId="0">
      <selection activeCell="J41" sqref="J41"/>
    </sheetView>
  </sheetViews>
  <sheetFormatPr defaultRowHeight="15" x14ac:dyDescent="0.25"/>
  <cols>
    <col min="1" max="1" width="3.140625" customWidth="1"/>
    <col min="2" max="3" width="10.42578125" bestFit="1" customWidth="1"/>
    <col min="4" max="4" width="21.42578125" bestFit="1" customWidth="1"/>
    <col min="5" max="5" width="21.42578125" customWidth="1"/>
    <col min="7" max="7" width="19.28515625" bestFit="1" customWidth="1"/>
    <col min="8" max="8" width="19.140625" bestFit="1" customWidth="1"/>
    <col min="9" max="9" width="18.140625" bestFit="1" customWidth="1"/>
  </cols>
  <sheetData>
    <row r="2" spans="2:16" ht="15" customHeight="1" x14ac:dyDescent="0.25">
      <c r="B2" s="123" t="s">
        <v>411</v>
      </c>
      <c r="C2" s="123"/>
      <c r="D2" s="123"/>
      <c r="E2" s="123"/>
      <c r="F2" s="123"/>
      <c r="G2" s="123"/>
      <c r="H2" s="123"/>
      <c r="I2" s="123"/>
    </row>
    <row r="3" spans="2:16" x14ac:dyDescent="0.25">
      <c r="B3" s="123"/>
      <c r="C3" s="123"/>
      <c r="D3" s="123"/>
      <c r="E3" s="123"/>
      <c r="F3" s="123"/>
      <c r="G3" s="123"/>
      <c r="H3" s="123"/>
      <c r="I3" s="123"/>
      <c r="K3" s="130" t="s">
        <v>292</v>
      </c>
      <c r="L3" s="130"/>
      <c r="M3" s="130"/>
      <c r="N3" s="130" t="s">
        <v>292</v>
      </c>
      <c r="O3" s="130"/>
      <c r="P3" s="130"/>
    </row>
    <row r="4" spans="2:16" x14ac:dyDescent="0.25">
      <c r="B4" s="7" t="s">
        <v>165</v>
      </c>
      <c r="C4" s="7" t="s">
        <v>5</v>
      </c>
      <c r="D4" s="7" t="s">
        <v>197</v>
      </c>
      <c r="E4" s="7" t="s">
        <v>301</v>
      </c>
      <c r="F4" s="7" t="s">
        <v>185</v>
      </c>
      <c r="G4" s="7" t="s">
        <v>278</v>
      </c>
      <c r="H4" s="7" t="s">
        <v>282</v>
      </c>
      <c r="I4" s="7" t="s">
        <v>280</v>
      </c>
      <c r="K4" s="131" t="s">
        <v>6</v>
      </c>
      <c r="L4" s="131"/>
      <c r="M4" s="131"/>
      <c r="N4" s="131" t="s">
        <v>359</v>
      </c>
      <c r="O4" s="131"/>
      <c r="P4" s="131"/>
    </row>
    <row r="5" spans="2:16" x14ac:dyDescent="0.25">
      <c r="B5" s="8"/>
      <c r="C5" s="9"/>
      <c r="D5" s="9"/>
      <c r="E5" s="9" t="s">
        <v>303</v>
      </c>
      <c r="F5" s="9" t="s">
        <v>187</v>
      </c>
      <c r="G5" s="9" t="s">
        <v>199</v>
      </c>
      <c r="H5" s="9" t="s">
        <v>281</v>
      </c>
      <c r="I5" s="9" t="s">
        <v>283</v>
      </c>
      <c r="K5" s="96" t="s">
        <v>286</v>
      </c>
      <c r="L5" s="96" t="s">
        <v>284</v>
      </c>
      <c r="M5" s="96" t="s">
        <v>287</v>
      </c>
      <c r="N5" s="96" t="s">
        <v>286</v>
      </c>
      <c r="O5" s="96" t="s">
        <v>284</v>
      </c>
      <c r="P5" s="96" t="s">
        <v>287</v>
      </c>
    </row>
    <row r="6" spans="2:16" x14ac:dyDescent="0.25">
      <c r="B6" s="6">
        <f>DAYS360("31-12-2009",C6)</f>
        <v>206</v>
      </c>
      <c r="C6" s="5">
        <v>40385</v>
      </c>
      <c r="D6" s="6" t="s">
        <v>404</v>
      </c>
      <c r="E6" s="6" t="s">
        <v>297</v>
      </c>
      <c r="F6" s="34">
        <v>180</v>
      </c>
      <c r="G6" s="79" t="s">
        <v>279</v>
      </c>
      <c r="H6" s="79" t="s">
        <v>279</v>
      </c>
      <c r="I6" s="79" t="s">
        <v>279</v>
      </c>
      <c r="K6" s="83" t="s">
        <v>293</v>
      </c>
      <c r="L6" s="83" t="s">
        <v>293</v>
      </c>
      <c r="M6" s="83" t="s">
        <v>293</v>
      </c>
      <c r="N6" s="83" t="s">
        <v>293</v>
      </c>
      <c r="O6" s="83" t="s">
        <v>293</v>
      </c>
      <c r="P6" s="83" t="s">
        <v>293</v>
      </c>
    </row>
    <row r="7" spans="2:16" x14ac:dyDescent="0.25">
      <c r="B7" s="6">
        <f>DAYS360("31-12-2009",C7)</f>
        <v>290</v>
      </c>
      <c r="C7" s="5">
        <v>40471</v>
      </c>
      <c r="D7" s="6" t="s">
        <v>404</v>
      </c>
      <c r="E7" s="6" t="s">
        <v>297</v>
      </c>
      <c r="F7" s="34">
        <v>60</v>
      </c>
      <c r="G7" s="6">
        <f>C7-C6</f>
        <v>86</v>
      </c>
      <c r="H7" s="6">
        <v>86</v>
      </c>
      <c r="I7" s="6">
        <v>86</v>
      </c>
      <c r="K7" s="6">
        <v>86</v>
      </c>
      <c r="L7" s="6">
        <v>1</v>
      </c>
      <c r="M7" s="83">
        <f>($M$11-L7+0.625)/($M$11+0.25)</f>
        <v>0.80769230769230771</v>
      </c>
      <c r="N7" s="6">
        <v>371</v>
      </c>
      <c r="O7" s="6">
        <v>1</v>
      </c>
      <c r="P7" s="83">
        <f>($P$9-O7+0.625)/($P$9+0.25)</f>
        <v>0.5</v>
      </c>
    </row>
    <row r="8" spans="2:16" x14ac:dyDescent="0.25">
      <c r="B8" s="6">
        <f>DAYS360("31-12-2009",C8)</f>
        <v>738</v>
      </c>
      <c r="C8" s="5">
        <v>40926</v>
      </c>
      <c r="D8" s="6" t="s">
        <v>404</v>
      </c>
      <c r="E8" s="6" t="s">
        <v>297</v>
      </c>
      <c r="F8" s="33">
        <v>150</v>
      </c>
      <c r="G8" s="6">
        <f t="shared" ref="G8:G11" si="0">C8-C7</f>
        <v>455</v>
      </c>
      <c r="H8" s="6">
        <v>455</v>
      </c>
      <c r="I8" s="6">
        <v>455</v>
      </c>
      <c r="K8" s="6">
        <v>455</v>
      </c>
      <c r="L8" s="6">
        <v>2</v>
      </c>
      <c r="M8" s="83">
        <f>($M$11-L8+0.625)/($M$11+0.25)</f>
        <v>0.5</v>
      </c>
    </row>
    <row r="9" spans="2:16" x14ac:dyDescent="0.25">
      <c r="B9" s="6">
        <f t="shared" ref="B9:B10" si="1">DAYS360("31-12-2009",C9)</f>
        <v>1301</v>
      </c>
      <c r="C9" s="5">
        <v>41497</v>
      </c>
      <c r="D9" s="6" t="s">
        <v>404</v>
      </c>
      <c r="E9" s="6" t="s">
        <v>297</v>
      </c>
      <c r="F9" s="33">
        <f>7*24*60</f>
        <v>10080</v>
      </c>
      <c r="G9" s="6">
        <f t="shared" si="0"/>
        <v>571</v>
      </c>
      <c r="H9" s="6">
        <v>571</v>
      </c>
      <c r="I9" s="6">
        <v>571</v>
      </c>
      <c r="K9" s="6">
        <v>571</v>
      </c>
      <c r="L9" s="6">
        <v>3</v>
      </c>
      <c r="M9" s="83">
        <f>($M$11-L9+0.625)/($M$11+0.25)</f>
        <v>0.19230769230769232</v>
      </c>
      <c r="O9" s="80" t="s">
        <v>285</v>
      </c>
      <c r="P9" s="81">
        <f>COUNT(O7)</f>
        <v>1</v>
      </c>
    </row>
    <row r="10" spans="2:16" x14ac:dyDescent="0.25">
      <c r="B10" s="6">
        <f t="shared" si="1"/>
        <v>738</v>
      </c>
      <c r="C10" s="5">
        <v>40926</v>
      </c>
      <c r="D10" s="6" t="s">
        <v>403</v>
      </c>
      <c r="E10" s="6" t="s">
        <v>297</v>
      </c>
      <c r="F10" s="33">
        <v>30</v>
      </c>
      <c r="G10" s="79" t="s">
        <v>279</v>
      </c>
      <c r="H10" s="79" t="s">
        <v>279</v>
      </c>
      <c r="I10" s="79" t="s">
        <v>279</v>
      </c>
    </row>
    <row r="11" spans="2:16" x14ac:dyDescent="0.25">
      <c r="B11" s="6">
        <f>DAYS360("31-12-2009",C11)</f>
        <v>1103</v>
      </c>
      <c r="C11" s="5">
        <v>41297</v>
      </c>
      <c r="D11" s="6" t="s">
        <v>403</v>
      </c>
      <c r="E11" s="6" t="s">
        <v>297</v>
      </c>
      <c r="F11" s="33">
        <v>120</v>
      </c>
      <c r="G11" s="6">
        <f t="shared" si="0"/>
        <v>371</v>
      </c>
      <c r="H11" s="6">
        <v>371</v>
      </c>
      <c r="I11" s="6">
        <v>371</v>
      </c>
      <c r="L11" s="80" t="s">
        <v>285</v>
      </c>
      <c r="M11" s="81">
        <f>COUNT(L7:L9)</f>
        <v>3</v>
      </c>
    </row>
    <row r="13" spans="2:16" x14ac:dyDescent="0.25">
      <c r="B13" s="132" t="s">
        <v>295</v>
      </c>
      <c r="C13" s="133"/>
      <c r="D13" s="134"/>
      <c r="K13" t="s">
        <v>294</v>
      </c>
    </row>
    <row r="14" spans="2:16" x14ac:dyDescent="0.25">
      <c r="B14" s="98" t="s">
        <v>296</v>
      </c>
      <c r="C14" s="135" t="s">
        <v>299</v>
      </c>
      <c r="D14" s="135"/>
    </row>
    <row r="15" spans="2:16" x14ac:dyDescent="0.25">
      <c r="B15" s="98" t="s">
        <v>297</v>
      </c>
      <c r="C15" s="135" t="s">
        <v>300</v>
      </c>
      <c r="D15" s="135"/>
      <c r="K15" t="s">
        <v>288</v>
      </c>
    </row>
    <row r="16" spans="2:16" x14ac:dyDescent="0.25">
      <c r="B16" s="98" t="s">
        <v>298</v>
      </c>
      <c r="C16" s="135" t="s">
        <v>302</v>
      </c>
      <c r="D16" s="135"/>
    </row>
    <row r="17" spans="11:11" x14ac:dyDescent="0.25">
      <c r="K17" t="s">
        <v>289</v>
      </c>
    </row>
    <row r="19" spans="11:11" x14ac:dyDescent="0.25">
      <c r="K19" t="s">
        <v>290</v>
      </c>
    </row>
    <row r="20" spans="11:11" x14ac:dyDescent="0.25">
      <c r="K20" t="s">
        <v>291</v>
      </c>
    </row>
  </sheetData>
  <sheetProtection sheet="1" objects="1" scenarios="1"/>
  <mergeCells count="9">
    <mergeCell ref="C15:D15"/>
    <mergeCell ref="C16:D16"/>
    <mergeCell ref="B2:I3"/>
    <mergeCell ref="K3:M3"/>
    <mergeCell ref="N3:P3"/>
    <mergeCell ref="K4:M4"/>
    <mergeCell ref="N4:P4"/>
    <mergeCell ref="B13:D13"/>
    <mergeCell ref="C14:D14"/>
  </mergeCells>
  <pageMargins left="0.7" right="0.7" top="0.75" bottom="0.75" header="0.3" footer="0.3"/>
  <drawing r:id="rId1"/>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B2:AR88"/>
  <sheetViews>
    <sheetView zoomScale="85" zoomScaleNormal="85" workbookViewId="0">
      <selection activeCell="B5" sqref="B5"/>
    </sheetView>
  </sheetViews>
  <sheetFormatPr defaultRowHeight="15" x14ac:dyDescent="0.25"/>
  <cols>
    <col min="1" max="1" width="3" customWidth="1"/>
    <col min="2" max="2" width="10.42578125" bestFit="1" customWidth="1"/>
    <col min="3" max="3" width="12" bestFit="1" customWidth="1"/>
    <col min="4" max="4" width="10.42578125" bestFit="1" customWidth="1"/>
    <col min="5" max="5" width="22.85546875" bestFit="1" customWidth="1"/>
    <col min="7" max="7" width="10.85546875" bestFit="1" customWidth="1"/>
    <col min="8" max="8" width="14.85546875" bestFit="1" customWidth="1"/>
    <col min="9" max="9" width="12" bestFit="1" customWidth="1"/>
    <col min="10" max="10" width="11.28515625" bestFit="1" customWidth="1"/>
    <col min="11" max="11" width="11.28515625" customWidth="1"/>
    <col min="12" max="12" width="12.28515625" bestFit="1" customWidth="1"/>
    <col min="13" max="13" width="13.7109375" bestFit="1" customWidth="1"/>
    <col min="14" max="15" width="12" bestFit="1" customWidth="1"/>
    <col min="16" max="16" width="12" customWidth="1"/>
    <col min="17" max="17" width="14" bestFit="1" customWidth="1"/>
    <col min="18" max="18" width="14" customWidth="1"/>
    <col min="20" max="21" width="10.42578125" bestFit="1" customWidth="1"/>
    <col min="22" max="22" width="21.42578125" bestFit="1" customWidth="1"/>
    <col min="24" max="24" width="10.85546875" bestFit="1" customWidth="1"/>
    <col min="25" max="25" width="14.85546875" bestFit="1" customWidth="1"/>
    <col min="26" max="26" width="12" bestFit="1" customWidth="1"/>
    <col min="27" max="27" width="11.42578125" bestFit="1" customWidth="1"/>
    <col min="28" max="29" width="11.42578125" customWidth="1"/>
    <col min="30" max="30" width="13.7109375" bestFit="1" customWidth="1"/>
    <col min="31" max="33" width="12" bestFit="1" customWidth="1"/>
    <col min="34" max="34" width="14" bestFit="1" customWidth="1"/>
    <col min="35" max="35" width="12.28515625" bestFit="1" customWidth="1"/>
    <col min="37" max="44" width="12.28515625" customWidth="1"/>
  </cols>
  <sheetData>
    <row r="2" spans="2:44" ht="15" customHeight="1" x14ac:dyDescent="0.25">
      <c r="B2" s="123" t="s">
        <v>386</v>
      </c>
      <c r="C2" s="123"/>
      <c r="D2" s="123"/>
      <c r="E2" s="123"/>
      <c r="F2" s="123"/>
      <c r="G2" s="123"/>
      <c r="H2" s="123"/>
      <c r="I2" s="123"/>
      <c r="J2" s="123"/>
      <c r="K2" s="123"/>
      <c r="L2" s="123"/>
      <c r="M2" s="123"/>
      <c r="N2" s="123"/>
      <c r="O2" s="123"/>
      <c r="P2" s="123"/>
      <c r="Q2" s="123"/>
      <c r="R2" s="123"/>
      <c r="T2" s="123" t="s">
        <v>387</v>
      </c>
      <c r="U2" s="123"/>
      <c r="V2" s="123"/>
      <c r="W2" s="123"/>
      <c r="X2" s="123"/>
      <c r="Y2" s="123"/>
      <c r="Z2" s="123"/>
      <c r="AA2" s="123"/>
      <c r="AB2" s="123"/>
      <c r="AC2" s="123"/>
      <c r="AD2" s="123"/>
      <c r="AE2" s="123"/>
      <c r="AF2" s="123"/>
      <c r="AG2" s="123"/>
      <c r="AH2" s="123"/>
      <c r="AI2" s="123"/>
      <c r="AJ2" t="s">
        <v>271</v>
      </c>
    </row>
    <row r="3" spans="2:44" x14ac:dyDescent="0.25">
      <c r="B3" s="123"/>
      <c r="C3" s="123"/>
      <c r="D3" s="123"/>
      <c r="E3" s="123"/>
      <c r="F3" s="123"/>
      <c r="G3" s="123"/>
      <c r="H3" s="123"/>
      <c r="I3" s="123"/>
      <c r="J3" s="123"/>
      <c r="K3" s="123"/>
      <c r="L3" s="123"/>
      <c r="M3" s="123"/>
      <c r="N3" s="123"/>
      <c r="O3" s="123"/>
      <c r="P3" s="123"/>
      <c r="Q3" s="123"/>
      <c r="R3" s="123"/>
      <c r="T3" s="123"/>
      <c r="U3" s="123"/>
      <c r="V3" s="123"/>
      <c r="W3" s="123"/>
      <c r="X3" s="123"/>
      <c r="Y3" s="123"/>
      <c r="Z3" s="123"/>
      <c r="AA3" s="123"/>
      <c r="AB3" s="123"/>
      <c r="AC3" s="123"/>
      <c r="AD3" s="123"/>
      <c r="AE3" s="123"/>
      <c r="AF3" s="123"/>
      <c r="AG3" s="123"/>
      <c r="AH3" s="123"/>
      <c r="AI3" s="123"/>
      <c r="AK3" s="78" t="s">
        <v>389</v>
      </c>
      <c r="AL3" s="78" t="s">
        <v>392</v>
      </c>
      <c r="AM3" s="140" t="s">
        <v>395</v>
      </c>
      <c r="AN3" s="141"/>
      <c r="AO3" s="142"/>
      <c r="AP3" s="123" t="s">
        <v>398</v>
      </c>
      <c r="AQ3" s="123"/>
      <c r="AR3" s="123"/>
    </row>
    <row r="4" spans="2:44" x14ac:dyDescent="0.25">
      <c r="B4" s="7" t="s">
        <v>165</v>
      </c>
      <c r="C4" s="7" t="s">
        <v>168</v>
      </c>
      <c r="D4" s="7" t="s">
        <v>5</v>
      </c>
      <c r="E4" s="7" t="s">
        <v>2</v>
      </c>
      <c r="F4" s="7" t="s">
        <v>185</v>
      </c>
      <c r="G4" s="7" t="s">
        <v>191</v>
      </c>
      <c r="H4" s="7" t="s">
        <v>192</v>
      </c>
      <c r="I4" s="7" t="s">
        <v>194</v>
      </c>
      <c r="J4" s="7" t="s">
        <v>194</v>
      </c>
      <c r="K4" s="7" t="s">
        <v>223</v>
      </c>
      <c r="L4" s="7" t="s">
        <v>238</v>
      </c>
      <c r="M4" s="7" t="s">
        <v>236</v>
      </c>
      <c r="N4" s="41" t="s">
        <v>208</v>
      </c>
      <c r="O4" s="41" t="s">
        <v>230</v>
      </c>
      <c r="P4" s="41" t="s">
        <v>231</v>
      </c>
      <c r="Q4" s="41" t="s">
        <v>211</v>
      </c>
      <c r="R4" s="41" t="s">
        <v>260</v>
      </c>
      <c r="T4" s="7" t="s">
        <v>165</v>
      </c>
      <c r="U4" s="7" t="s">
        <v>5</v>
      </c>
      <c r="V4" s="7" t="s">
        <v>197</v>
      </c>
      <c r="W4" s="7" t="s">
        <v>185</v>
      </c>
      <c r="X4" s="7" t="s">
        <v>191</v>
      </c>
      <c r="Y4" s="7" t="s">
        <v>192</v>
      </c>
      <c r="Z4" s="7" t="s">
        <v>198</v>
      </c>
      <c r="AA4" s="7" t="s">
        <v>198</v>
      </c>
      <c r="AB4" s="7" t="s">
        <v>224</v>
      </c>
      <c r="AC4" s="7" t="s">
        <v>238</v>
      </c>
      <c r="AD4" s="7" t="s">
        <v>236</v>
      </c>
      <c r="AE4" s="41" t="s">
        <v>208</v>
      </c>
      <c r="AF4" s="41" t="s">
        <v>230</v>
      </c>
      <c r="AG4" s="41" t="s">
        <v>231</v>
      </c>
      <c r="AH4" s="41" t="s">
        <v>211</v>
      </c>
      <c r="AI4" s="41" t="s">
        <v>260</v>
      </c>
      <c r="AJ4" s="75" t="s">
        <v>264</v>
      </c>
      <c r="AK4" s="76" t="s">
        <v>265</v>
      </c>
      <c r="AL4" s="76" t="s">
        <v>265</v>
      </c>
      <c r="AM4" s="76" t="s">
        <v>265</v>
      </c>
      <c r="AN4" s="76" t="s">
        <v>265</v>
      </c>
      <c r="AO4" s="76" t="s">
        <v>265</v>
      </c>
      <c r="AP4" s="76" t="s">
        <v>265</v>
      </c>
      <c r="AQ4" s="76" t="s">
        <v>265</v>
      </c>
      <c r="AR4" s="76" t="s">
        <v>265</v>
      </c>
    </row>
    <row r="5" spans="2:44" x14ac:dyDescent="0.25">
      <c r="B5" s="8"/>
      <c r="C5" s="8"/>
      <c r="D5" s="9"/>
      <c r="E5" s="9"/>
      <c r="F5" s="9" t="s">
        <v>187</v>
      </c>
      <c r="G5" s="9"/>
      <c r="H5" s="9" t="s">
        <v>187</v>
      </c>
      <c r="I5" s="9" t="s">
        <v>187</v>
      </c>
      <c r="J5" s="9" t="s">
        <v>199</v>
      </c>
      <c r="K5" s="9" t="s">
        <v>187</v>
      </c>
      <c r="L5" s="9" t="s">
        <v>237</v>
      </c>
      <c r="M5" s="9" t="s">
        <v>237</v>
      </c>
      <c r="N5" s="42" t="s">
        <v>257</v>
      </c>
      <c r="O5" s="42" t="s">
        <v>257</v>
      </c>
      <c r="P5" s="42" t="s">
        <v>257</v>
      </c>
      <c r="Q5" s="42" t="s">
        <v>257</v>
      </c>
      <c r="R5" s="42" t="s">
        <v>263</v>
      </c>
      <c r="T5" s="8"/>
      <c r="U5" s="9"/>
      <c r="V5" s="9"/>
      <c r="W5" s="9" t="s">
        <v>187</v>
      </c>
      <c r="X5" s="9"/>
      <c r="Y5" s="9" t="s">
        <v>187</v>
      </c>
      <c r="Z5" s="9" t="s">
        <v>187</v>
      </c>
      <c r="AA5" s="9" t="s">
        <v>199</v>
      </c>
      <c r="AB5" s="9" t="s">
        <v>187</v>
      </c>
      <c r="AC5" s="9" t="s">
        <v>237</v>
      </c>
      <c r="AD5" s="9" t="s">
        <v>237</v>
      </c>
      <c r="AE5" s="42" t="s">
        <v>257</v>
      </c>
      <c r="AF5" s="42" t="s">
        <v>257</v>
      </c>
      <c r="AG5" s="42" t="s">
        <v>257</v>
      </c>
      <c r="AH5" s="42" t="s">
        <v>257</v>
      </c>
      <c r="AI5" s="42" t="s">
        <v>263</v>
      </c>
      <c r="AJ5" s="42" t="s">
        <v>269</v>
      </c>
      <c r="AK5" s="42" t="s">
        <v>275</v>
      </c>
      <c r="AL5" s="42" t="s">
        <v>274</v>
      </c>
      <c r="AM5" s="42" t="s">
        <v>272</v>
      </c>
      <c r="AN5" s="42" t="s">
        <v>273</v>
      </c>
      <c r="AO5" s="42" t="s">
        <v>274</v>
      </c>
      <c r="AP5" s="42" t="s">
        <v>273</v>
      </c>
      <c r="AQ5" s="42" t="s">
        <v>274</v>
      </c>
      <c r="AR5" s="42" t="s">
        <v>276</v>
      </c>
    </row>
    <row r="6" spans="2:44" x14ac:dyDescent="0.25">
      <c r="B6" s="6">
        <f>DAYS360("31-12-2009",D6)</f>
        <v>472</v>
      </c>
      <c r="C6" s="14">
        <v>1</v>
      </c>
      <c r="D6" s="5">
        <v>40655</v>
      </c>
      <c r="E6" s="6" t="s">
        <v>385</v>
      </c>
      <c r="F6" s="33">
        <v>360</v>
      </c>
      <c r="G6" s="31"/>
      <c r="H6" s="31"/>
      <c r="I6" s="31"/>
      <c r="J6" s="31"/>
      <c r="K6" s="31"/>
      <c r="L6" s="6">
        <f>F6-$F$17</f>
        <v>-537.27272727272725</v>
      </c>
      <c r="M6" s="6">
        <f>SQRT((L6*L6)/COUNT($B$6:$B$16))</f>
        <v>161.99382240496209</v>
      </c>
      <c r="N6" s="31"/>
      <c r="O6" s="31"/>
      <c r="P6" s="31"/>
      <c r="Q6" s="31"/>
      <c r="R6" s="31"/>
      <c r="T6" s="6">
        <f>DAYS360("31-12-2009",U6)</f>
        <v>1477</v>
      </c>
      <c r="U6" s="5">
        <v>41677</v>
      </c>
      <c r="V6" s="6" t="s">
        <v>390</v>
      </c>
      <c r="W6" s="6">
        <v>180</v>
      </c>
      <c r="X6" s="6">
        <f>COUNT(W6)</f>
        <v>1</v>
      </c>
      <c r="Y6" s="6">
        <f>SUM(W6)</f>
        <v>180</v>
      </c>
      <c r="Z6" s="6">
        <f>($F$20-Y6)/X6</f>
        <v>518220</v>
      </c>
      <c r="AA6" s="6">
        <f>INT(Z6/60/24)</f>
        <v>359</v>
      </c>
      <c r="AB6" s="6">
        <f>Y6/X6</f>
        <v>180</v>
      </c>
      <c r="AC6" s="6">
        <f>Y6-W7</f>
        <v>0</v>
      </c>
      <c r="AD6" s="33">
        <f>SQRT((AC6*AC6)/COUNT(W6))</f>
        <v>0</v>
      </c>
      <c r="AE6" s="6">
        <f>1/AA6</f>
        <v>2.7855153203342618E-3</v>
      </c>
      <c r="AF6" s="6">
        <f>AE6*EXP(-AE6*(365*1))</f>
        <v>1.007749673042332E-3</v>
      </c>
      <c r="AG6" s="6">
        <f>1-EXP(-AE6*(365*1))</f>
        <v>0.63821786737780273</v>
      </c>
      <c r="AH6" s="6">
        <f>EXP(-AE6*(365*1))</f>
        <v>0.36178213262219722</v>
      </c>
      <c r="AI6" s="6">
        <f>$F$20/(Y6+$F$20)*100</f>
        <v>99.965289829920167</v>
      </c>
      <c r="AJ6">
        <v>1</v>
      </c>
      <c r="AK6" s="6">
        <f>EXP(-$AE$6*(AJ6))</f>
        <v>0.99721836062779279</v>
      </c>
      <c r="AL6" s="6">
        <f>EXP(-$AE$8*(AJ6))</f>
        <v>0.99721836062779279</v>
      </c>
      <c r="AM6" s="6">
        <f>EXP(-$AE$10*(AJ6))</f>
        <v>0.99721836062779279</v>
      </c>
      <c r="AN6" s="6">
        <f>EXP(-$AE$12*(AJ6))</f>
        <v>0.99721836062779279</v>
      </c>
      <c r="AO6" s="6">
        <f>EXP(-$AE$14*(AJ6))</f>
        <v>0.99721836062779279</v>
      </c>
      <c r="AP6" s="6">
        <f>EXP(-$AE$17*(AJ6))</f>
        <v>0.99442898380825406</v>
      </c>
      <c r="AQ6" s="6">
        <f>EXP(-$AE$21*(AJ6))</f>
        <v>0.99163184820119987</v>
      </c>
      <c r="AR6" s="6">
        <f>EXP(-$AE$23*(AJ6))</f>
        <v>0.99718706233562282</v>
      </c>
    </row>
    <row r="7" spans="2:44" x14ac:dyDescent="0.25">
      <c r="B7" s="6">
        <f t="shared" ref="B7:B16" si="0">DAYS360("31-12-2009",D7)</f>
        <v>737</v>
      </c>
      <c r="C7" s="10">
        <v>1</v>
      </c>
      <c r="D7" s="5">
        <v>40925</v>
      </c>
      <c r="E7" s="6" t="s">
        <v>385</v>
      </c>
      <c r="F7" s="33">
        <v>120</v>
      </c>
      <c r="G7" s="31"/>
      <c r="H7" s="31"/>
      <c r="I7" s="31"/>
      <c r="J7" s="31"/>
      <c r="K7" s="31"/>
      <c r="L7" s="6">
        <f t="shared" ref="L7:L15" si="1">F7-$F$17</f>
        <v>-777.27272727272725</v>
      </c>
      <c r="M7" s="6">
        <f>SQRT((L7*L7)/COUNT($B$6:$B$16))</f>
        <v>234.35654510362536</v>
      </c>
      <c r="N7" s="31"/>
      <c r="O7" s="31"/>
      <c r="P7" s="31"/>
      <c r="Q7" s="31"/>
      <c r="R7" s="31"/>
      <c r="T7" s="31"/>
      <c r="U7" s="31"/>
      <c r="V7" s="44" t="s">
        <v>235</v>
      </c>
      <c r="W7" s="6">
        <f>AVERAGE(W6)</f>
        <v>180</v>
      </c>
      <c r="X7" s="31"/>
      <c r="Y7" s="31"/>
      <c r="Z7" s="31"/>
      <c r="AA7" s="31"/>
      <c r="AB7" s="31"/>
      <c r="AC7" s="31"/>
      <c r="AD7" s="31"/>
      <c r="AE7" s="31"/>
      <c r="AF7" s="31"/>
      <c r="AG7" s="31"/>
      <c r="AH7" s="31"/>
      <c r="AI7" s="31"/>
      <c r="AJ7">
        <f>AJ6+5</f>
        <v>6</v>
      </c>
      <c r="AK7" s="6">
        <f t="shared" ref="AK7:AK70" si="2">EXP(-$AE$6*(AJ7))</f>
        <v>0.98342579696807908</v>
      </c>
      <c r="AL7" s="6">
        <f t="shared" ref="AL7:AL38" si="3">EXP(-$AE$6*(AJ7))</f>
        <v>0.98342579696807908</v>
      </c>
      <c r="AM7" s="6">
        <f t="shared" ref="AM7:AM70" si="4">EXP(-$AE$10*(AJ7))</f>
        <v>0.98342579696807908</v>
      </c>
      <c r="AN7" s="6">
        <f t="shared" ref="AN7:AN70" si="5">EXP(-$AE$12*(AJ7))</f>
        <v>0.98342579696807908</v>
      </c>
      <c r="AO7" s="6">
        <f t="shared" ref="AO7:AO70" si="6">EXP(-$AE$14*(AJ7))</f>
        <v>0.98342579696807908</v>
      </c>
      <c r="AP7" s="6">
        <f t="shared" ref="AP7:AP70" si="7">EXP(-$AE$17*(AJ7))</f>
        <v>0.96703600252135291</v>
      </c>
      <c r="AQ7" s="6">
        <f t="shared" ref="AQ7:AQ70" si="8">EXP(-$AE$21*(AJ7))</f>
        <v>0.95082983222576778</v>
      </c>
      <c r="AR7" s="6">
        <f t="shared" ref="AR7:AR70" si="9">EXP(-$AE$23*(AJ7))</f>
        <v>0.98324061907233784</v>
      </c>
    </row>
    <row r="8" spans="2:44" x14ac:dyDescent="0.25">
      <c r="B8" s="6">
        <f t="shared" si="0"/>
        <v>747</v>
      </c>
      <c r="C8" s="10">
        <v>1</v>
      </c>
      <c r="D8" s="5">
        <v>40935</v>
      </c>
      <c r="E8" s="6" t="s">
        <v>385</v>
      </c>
      <c r="F8" s="33">
        <v>60</v>
      </c>
      <c r="G8" s="31"/>
      <c r="H8" s="31"/>
      <c r="I8" s="31"/>
      <c r="J8" s="31"/>
      <c r="K8" s="31"/>
      <c r="L8" s="6">
        <f t="shared" si="1"/>
        <v>-837.27272727272725</v>
      </c>
      <c r="M8" s="6">
        <f t="shared" ref="M8:M16" si="10">SQRT((L8*L8)/COUNT($B$6:$B$16))</f>
        <v>252.44722577829117</v>
      </c>
      <c r="N8" s="31"/>
      <c r="O8" s="31"/>
      <c r="P8" s="31"/>
      <c r="Q8" s="31"/>
      <c r="R8" s="31"/>
      <c r="T8" s="6">
        <f t="shared" ref="T8:T10" si="11">DAYS360("31-12-2009",U8)</f>
        <v>1107</v>
      </c>
      <c r="U8" s="5">
        <v>41301</v>
      </c>
      <c r="V8" s="6" t="s">
        <v>393</v>
      </c>
      <c r="W8" s="33">
        <v>60</v>
      </c>
      <c r="X8" s="6">
        <f>COUNT(W8)</f>
        <v>1</v>
      </c>
      <c r="Y8" s="6">
        <f>SUM(W8)</f>
        <v>60</v>
      </c>
      <c r="Z8" s="6">
        <f>($F$20-Y8)/X8</f>
        <v>518340</v>
      </c>
      <c r="AA8" s="6">
        <f>INT(Z8/60/24)</f>
        <v>359</v>
      </c>
      <c r="AB8" s="6">
        <f>Y8/X8</f>
        <v>60</v>
      </c>
      <c r="AC8" s="6">
        <f>Y8-W9</f>
        <v>0</v>
      </c>
      <c r="AD8" s="33">
        <f>SQRT((AC8*AC8)/COUNT(W8))</f>
        <v>0</v>
      </c>
      <c r="AE8" s="6">
        <f>1/AA8</f>
        <v>2.7855153203342618E-3</v>
      </c>
      <c r="AF8" s="6">
        <f>AE8*EXP(-AE8*(365*1))</f>
        <v>1.007749673042332E-3</v>
      </c>
      <c r="AG8" s="6">
        <f>1-EXP(-AE8*(365*1))</f>
        <v>0.63821786737780273</v>
      </c>
      <c r="AH8" s="6">
        <f>EXP(-AE8*(365*1))</f>
        <v>0.36178213262219722</v>
      </c>
      <c r="AI8" s="6">
        <f>$F$20/(Y8+$F$20)*100</f>
        <v>99.988427265362802</v>
      </c>
      <c r="AJ8">
        <f t="shared" ref="AJ8:AJ71" si="12">AJ7+5</f>
        <v>11</v>
      </c>
      <c r="AK8" s="6">
        <f t="shared" si="2"/>
        <v>0.96982399876136749</v>
      </c>
      <c r="AL8" s="6">
        <f t="shared" si="3"/>
        <v>0.96982399876136749</v>
      </c>
      <c r="AM8" s="6">
        <f t="shared" si="4"/>
        <v>0.96982399876136749</v>
      </c>
      <c r="AN8" s="6">
        <f t="shared" si="5"/>
        <v>0.96982399876136749</v>
      </c>
      <c r="AO8" s="6">
        <f t="shared" si="6"/>
        <v>0.96982399876136749</v>
      </c>
      <c r="AP8" s="6">
        <f t="shared" si="7"/>
        <v>0.94039760043115894</v>
      </c>
      <c r="AQ8" s="6">
        <f t="shared" si="8"/>
        <v>0.91170666965815983</v>
      </c>
      <c r="AR8" s="6">
        <f t="shared" si="9"/>
        <v>0.96948922775772173</v>
      </c>
    </row>
    <row r="9" spans="2:44" x14ac:dyDescent="0.25">
      <c r="B9" s="6">
        <f t="shared" si="0"/>
        <v>838</v>
      </c>
      <c r="C9" s="14">
        <v>1</v>
      </c>
      <c r="D9" s="5">
        <v>41027</v>
      </c>
      <c r="E9" s="6" t="s">
        <v>385</v>
      </c>
      <c r="F9" s="33">
        <v>120</v>
      </c>
      <c r="G9" s="31"/>
      <c r="H9" s="31"/>
      <c r="I9" s="31"/>
      <c r="J9" s="31"/>
      <c r="K9" s="31"/>
      <c r="L9" s="6">
        <f t="shared" si="1"/>
        <v>-777.27272727272725</v>
      </c>
      <c r="M9" s="6">
        <f t="shared" si="10"/>
        <v>234.35654510362536</v>
      </c>
      <c r="N9" s="31"/>
      <c r="O9" s="31"/>
      <c r="P9" s="31"/>
      <c r="Q9" s="31"/>
      <c r="R9" s="31"/>
      <c r="T9" s="31"/>
      <c r="U9" s="31"/>
      <c r="V9" s="43" t="s">
        <v>235</v>
      </c>
      <c r="W9" s="6">
        <f>AVERAGE(W8)</f>
        <v>60</v>
      </c>
      <c r="X9" s="31"/>
      <c r="Y9" s="31"/>
      <c r="Z9" s="31"/>
      <c r="AA9" s="31"/>
      <c r="AB9" s="31"/>
      <c r="AC9" s="31"/>
      <c r="AD9" s="31"/>
      <c r="AE9" s="31"/>
      <c r="AF9" s="31"/>
      <c r="AG9" s="31"/>
      <c r="AH9" s="31"/>
      <c r="AI9" s="31"/>
      <c r="AJ9">
        <f t="shared" si="12"/>
        <v>16</v>
      </c>
      <c r="AK9" s="6">
        <f t="shared" si="2"/>
        <v>0.95641032752369259</v>
      </c>
      <c r="AL9" s="6">
        <f t="shared" si="3"/>
        <v>0.95641032752369259</v>
      </c>
      <c r="AM9" s="6">
        <f t="shared" si="4"/>
        <v>0.95641032752369259</v>
      </c>
      <c r="AN9" s="6">
        <f t="shared" si="5"/>
        <v>0.95641032752369259</v>
      </c>
      <c r="AO9" s="6">
        <f t="shared" si="6"/>
        <v>0.95641032752369259</v>
      </c>
      <c r="AP9" s="6">
        <f t="shared" si="7"/>
        <v>0.91449299156486641</v>
      </c>
      <c r="AQ9" s="6">
        <f t="shared" si="8"/>
        <v>0.87419328183406031</v>
      </c>
      <c r="AR9" s="6">
        <f t="shared" si="9"/>
        <v>0.95593016043727319</v>
      </c>
    </row>
    <row r="10" spans="2:44" x14ac:dyDescent="0.25">
      <c r="B10" s="6">
        <f t="shared" si="0"/>
        <v>1107</v>
      </c>
      <c r="C10" s="10">
        <v>1</v>
      </c>
      <c r="D10" s="5">
        <v>41301</v>
      </c>
      <c r="E10" s="6" t="s">
        <v>385</v>
      </c>
      <c r="F10" s="33">
        <v>60</v>
      </c>
      <c r="G10" s="31"/>
      <c r="H10" s="31"/>
      <c r="I10" s="31"/>
      <c r="J10" s="31"/>
      <c r="K10" s="31"/>
      <c r="L10" s="6">
        <f t="shared" si="1"/>
        <v>-837.27272727272725</v>
      </c>
      <c r="M10" s="6">
        <f t="shared" si="10"/>
        <v>252.44722577829117</v>
      </c>
      <c r="N10" s="31"/>
      <c r="O10" s="31"/>
      <c r="P10" s="31"/>
      <c r="Q10" s="31"/>
      <c r="R10" s="31"/>
      <c r="T10" s="6">
        <f t="shared" si="11"/>
        <v>472</v>
      </c>
      <c r="U10" s="5">
        <v>40655</v>
      </c>
      <c r="V10" s="6" t="s">
        <v>396</v>
      </c>
      <c r="W10" s="33">
        <v>360</v>
      </c>
      <c r="X10" s="6">
        <f>COUNT(W10)</f>
        <v>1</v>
      </c>
      <c r="Y10" s="6">
        <f>SUM(W10)</f>
        <v>360</v>
      </c>
      <c r="Z10" s="6">
        <f>($F$20-Y10)/X10</f>
        <v>518040</v>
      </c>
      <c r="AA10" s="6">
        <f>INT(Z10/60/24)</f>
        <v>359</v>
      </c>
      <c r="AB10" s="6">
        <f>Y10/X10</f>
        <v>360</v>
      </c>
      <c r="AC10" s="6">
        <f>Y10-W11</f>
        <v>0</v>
      </c>
      <c r="AD10" s="33">
        <f>SQRT((AC10*AC10)/COUNT(W10))</f>
        <v>0</v>
      </c>
      <c r="AE10" s="6">
        <f>1/AA10</f>
        <v>2.7855153203342618E-3</v>
      </c>
      <c r="AF10" s="6">
        <f>AE10*EXP(-AE10*(365*1))</f>
        <v>1.007749673042332E-3</v>
      </c>
      <c r="AG10" s="6">
        <f>1-EXP(-AE10*(365*1))</f>
        <v>0.63821786737780273</v>
      </c>
      <c r="AH10" s="6">
        <f>EXP(-AE10*(365*1))</f>
        <v>0.36178213262219722</v>
      </c>
      <c r="AI10" s="6">
        <f>$F$20/(Y10+$F$20)*100</f>
        <v>99.93060374739764</v>
      </c>
      <c r="AJ10">
        <f t="shared" si="12"/>
        <v>21</v>
      </c>
      <c r="AK10" s="6">
        <f t="shared" si="2"/>
        <v>0.94318218126405728</v>
      </c>
      <c r="AL10" s="6">
        <f t="shared" si="3"/>
        <v>0.94318218126405728</v>
      </c>
      <c r="AM10" s="6">
        <f t="shared" si="4"/>
        <v>0.94318218126405728</v>
      </c>
      <c r="AN10" s="6">
        <f t="shared" si="5"/>
        <v>0.94318218126405728</v>
      </c>
      <c r="AO10" s="6">
        <f t="shared" si="6"/>
        <v>0.94318218126405728</v>
      </c>
      <c r="AP10" s="6">
        <f t="shared" si="7"/>
        <v>0.88930196252928373</v>
      </c>
      <c r="AQ10" s="6">
        <f t="shared" si="8"/>
        <v>0.8382234324229999</v>
      </c>
      <c r="AR10" s="6">
        <f t="shared" si="9"/>
        <v>0.94256072730907403</v>
      </c>
    </row>
    <row r="11" spans="2:44" x14ac:dyDescent="0.25">
      <c r="B11" s="6">
        <f t="shared" si="0"/>
        <v>1153</v>
      </c>
      <c r="C11" s="10">
        <v>1</v>
      </c>
      <c r="D11" s="5">
        <v>41346</v>
      </c>
      <c r="E11" s="6" t="s">
        <v>385</v>
      </c>
      <c r="F11" s="33">
        <v>120</v>
      </c>
      <c r="G11" s="31"/>
      <c r="H11" s="31"/>
      <c r="I11" s="31"/>
      <c r="J11" s="31"/>
      <c r="K11" s="31"/>
      <c r="L11" s="6">
        <f t="shared" si="1"/>
        <v>-777.27272727272725</v>
      </c>
      <c r="M11" s="6">
        <f t="shared" si="10"/>
        <v>234.35654510362536</v>
      </c>
      <c r="N11" s="31"/>
      <c r="O11" s="31"/>
      <c r="P11" s="31"/>
      <c r="Q11" s="31"/>
      <c r="R11" s="31"/>
      <c r="T11" s="31"/>
      <c r="U11" s="31"/>
      <c r="V11" s="44" t="s">
        <v>235</v>
      </c>
      <c r="W11" s="6">
        <f>AVERAGE(W10)</f>
        <v>360</v>
      </c>
      <c r="X11" s="31"/>
      <c r="Y11" s="31"/>
      <c r="Z11" s="31"/>
      <c r="AA11" s="31"/>
      <c r="AB11" s="31"/>
      <c r="AC11" s="31"/>
      <c r="AD11" s="31"/>
      <c r="AE11" s="31"/>
      <c r="AF11" s="31"/>
      <c r="AG11" s="31"/>
      <c r="AH11" s="31"/>
      <c r="AI11" s="31"/>
      <c r="AJ11">
        <f t="shared" si="12"/>
        <v>26</v>
      </c>
      <c r="AK11" s="6">
        <f t="shared" si="2"/>
        <v>0.93013699397969707</v>
      </c>
      <c r="AL11" s="6">
        <f t="shared" si="3"/>
        <v>0.93013699397969707</v>
      </c>
      <c r="AM11" s="6">
        <f t="shared" si="4"/>
        <v>0.93013699397969707</v>
      </c>
      <c r="AN11" s="6">
        <f t="shared" si="5"/>
        <v>0.93013699397969707</v>
      </c>
      <c r="AO11" s="6">
        <f t="shared" si="6"/>
        <v>0.93013699397969707</v>
      </c>
      <c r="AP11" s="6">
        <f t="shared" si="7"/>
        <v>0.8648048567383021</v>
      </c>
      <c r="AQ11" s="6">
        <f>EXP(-$AE$21*(AJ11))</f>
        <v>0.80373361047673531</v>
      </c>
      <c r="AR11" s="6">
        <f t="shared" si="9"/>
        <v>0.92937827619019631</v>
      </c>
    </row>
    <row r="12" spans="2:44" x14ac:dyDescent="0.25">
      <c r="B12" s="6">
        <f t="shared" si="0"/>
        <v>1217</v>
      </c>
      <c r="C12" s="10">
        <v>1</v>
      </c>
      <c r="D12" s="5">
        <v>41411</v>
      </c>
      <c r="E12" s="6" t="s">
        <v>385</v>
      </c>
      <c r="F12" s="33">
        <f>26*60</f>
        <v>1560</v>
      </c>
      <c r="G12" s="31"/>
      <c r="H12" s="31"/>
      <c r="I12" s="31"/>
      <c r="J12" s="31"/>
      <c r="K12" s="31"/>
      <c r="L12" s="6">
        <f t="shared" si="1"/>
        <v>662.72727272727275</v>
      </c>
      <c r="M12" s="6">
        <f t="shared" si="10"/>
        <v>199.81979108835426</v>
      </c>
      <c r="N12" s="31"/>
      <c r="O12" s="31"/>
      <c r="P12" s="31"/>
      <c r="Q12" s="31"/>
      <c r="R12" s="31"/>
      <c r="T12" s="6">
        <f>DAYS360("31-12-2009",U12)</f>
        <v>747</v>
      </c>
      <c r="U12" s="5">
        <v>40935</v>
      </c>
      <c r="V12" s="6" t="s">
        <v>396</v>
      </c>
      <c r="W12" s="33">
        <v>60</v>
      </c>
      <c r="X12" s="6">
        <f>COUNT(W12)</f>
        <v>1</v>
      </c>
      <c r="Y12" s="6">
        <f>SUM(W12)</f>
        <v>60</v>
      </c>
      <c r="Z12" s="6">
        <f>($F$20-Y12)/X12</f>
        <v>518340</v>
      </c>
      <c r="AA12" s="6">
        <f>INT(Z12/60/24)</f>
        <v>359</v>
      </c>
      <c r="AB12" s="6">
        <f>Y12/X12</f>
        <v>60</v>
      </c>
      <c r="AC12" s="6">
        <f>Y12-W13</f>
        <v>0</v>
      </c>
      <c r="AD12" s="33">
        <f>SQRT((AC12*AC12)/COUNT(W12))</f>
        <v>0</v>
      </c>
      <c r="AE12" s="6">
        <f>1/AA12</f>
        <v>2.7855153203342618E-3</v>
      </c>
      <c r="AF12" s="6">
        <f>AE12*EXP(-AE12*(365*1))</f>
        <v>1.007749673042332E-3</v>
      </c>
      <c r="AG12" s="6">
        <f>1-EXP(-AE12*(365*1))</f>
        <v>0.63821786737780273</v>
      </c>
      <c r="AH12" s="6">
        <f>EXP(-AE12*(365*1))</f>
        <v>0.36178213262219722</v>
      </c>
      <c r="AI12" s="6">
        <f>$F$20/(Y12+$F$20)*100</f>
        <v>99.988427265362802</v>
      </c>
      <c r="AJ12">
        <f t="shared" si="12"/>
        <v>31</v>
      </c>
      <c r="AK12" s="6">
        <f t="shared" si="2"/>
        <v>0.9172722351583259</v>
      </c>
      <c r="AL12" s="6">
        <f t="shared" si="3"/>
        <v>0.9172722351583259</v>
      </c>
      <c r="AM12" s="6">
        <f t="shared" si="4"/>
        <v>0.9172722351583259</v>
      </c>
      <c r="AN12" s="6">
        <f t="shared" si="5"/>
        <v>0.9172722351583259</v>
      </c>
      <c r="AO12" s="6">
        <f t="shared" si="6"/>
        <v>0.9172722351583259</v>
      </c>
      <c r="AP12" s="6">
        <f t="shared" si="7"/>
        <v>0.84098255907484076</v>
      </c>
      <c r="AQ12" s="6">
        <f t="shared" si="8"/>
        <v>0.77066291828975986</v>
      </c>
      <c r="AR12" s="6">
        <f t="shared" si="9"/>
        <v>0.91638019199057019</v>
      </c>
    </row>
    <row r="13" spans="2:44" x14ac:dyDescent="0.25">
      <c r="B13" s="6">
        <f t="shared" si="0"/>
        <v>1346</v>
      </c>
      <c r="C13" s="10">
        <v>1</v>
      </c>
      <c r="D13" s="5">
        <v>41543</v>
      </c>
      <c r="E13" s="6" t="s">
        <v>385</v>
      </c>
      <c r="F13" s="33">
        <v>30</v>
      </c>
      <c r="G13" s="31"/>
      <c r="H13" s="31"/>
      <c r="I13" s="31"/>
      <c r="J13" s="31"/>
      <c r="K13" s="31"/>
      <c r="L13" s="6">
        <f t="shared" si="1"/>
        <v>-867.27272727272725</v>
      </c>
      <c r="M13" s="6">
        <f t="shared" si="10"/>
        <v>261.49256611562407</v>
      </c>
      <c r="N13" s="31"/>
      <c r="O13" s="31"/>
      <c r="P13" s="31"/>
      <c r="Q13" s="31"/>
      <c r="R13" s="31"/>
      <c r="T13" s="31"/>
      <c r="U13" s="31"/>
      <c r="V13" s="44" t="s">
        <v>235</v>
      </c>
      <c r="W13" s="6">
        <f>AVERAGE(W12)</f>
        <v>60</v>
      </c>
      <c r="X13" s="31"/>
      <c r="Y13" s="31"/>
      <c r="Z13" s="31"/>
      <c r="AA13" s="31"/>
      <c r="AB13" s="31"/>
      <c r="AC13" s="31"/>
      <c r="AD13" s="31"/>
      <c r="AE13" s="31"/>
      <c r="AF13" s="31"/>
      <c r="AG13" s="31"/>
      <c r="AH13" s="31"/>
      <c r="AI13" s="31"/>
      <c r="AJ13">
        <f t="shared" si="12"/>
        <v>36</v>
      </c>
      <c r="AK13" s="6">
        <f t="shared" si="2"/>
        <v>0.9045854092872655</v>
      </c>
      <c r="AL13" s="6">
        <f t="shared" si="3"/>
        <v>0.9045854092872655</v>
      </c>
      <c r="AM13" s="6">
        <f t="shared" si="4"/>
        <v>0.9045854092872655</v>
      </c>
      <c r="AN13" s="6">
        <f t="shared" si="5"/>
        <v>0.9045854092872655</v>
      </c>
      <c r="AO13" s="6">
        <f t="shared" si="6"/>
        <v>0.9045854092872655</v>
      </c>
      <c r="AP13" s="6">
        <f t="shared" si="7"/>
        <v>0.81781648097530157</v>
      </c>
      <c r="AQ13" s="6">
        <f t="shared" si="8"/>
        <v>0.73895296387394338</v>
      </c>
      <c r="AR13" s="6">
        <f t="shared" si="9"/>
        <v>0.90356389619421207</v>
      </c>
    </row>
    <row r="14" spans="2:44" x14ac:dyDescent="0.25">
      <c r="B14" s="6">
        <f t="shared" si="0"/>
        <v>1357</v>
      </c>
      <c r="C14" s="10">
        <v>1</v>
      </c>
      <c r="D14" s="5">
        <v>41554</v>
      </c>
      <c r="E14" s="6" t="s">
        <v>385</v>
      </c>
      <c r="F14" s="33">
        <v>60</v>
      </c>
      <c r="G14" s="31"/>
      <c r="H14" s="31"/>
      <c r="I14" s="31"/>
      <c r="J14" s="31"/>
      <c r="K14" s="31"/>
      <c r="L14" s="6">
        <f t="shared" si="1"/>
        <v>-837.27272727272725</v>
      </c>
      <c r="M14" s="6">
        <f t="shared" si="10"/>
        <v>252.44722577829117</v>
      </c>
      <c r="N14" s="31"/>
      <c r="O14" s="31"/>
      <c r="P14" s="31"/>
      <c r="Q14" s="31"/>
      <c r="R14" s="31"/>
      <c r="T14" s="6">
        <f>DAYS360("31-12-2009",U14)</f>
        <v>1346</v>
      </c>
      <c r="U14" s="5">
        <v>41543</v>
      </c>
      <c r="V14" s="6" t="s">
        <v>396</v>
      </c>
      <c r="W14" s="33">
        <v>30</v>
      </c>
      <c r="X14" s="6">
        <f>COUNT(W14)</f>
        <v>1</v>
      </c>
      <c r="Y14" s="6">
        <f>SUM(W14)</f>
        <v>30</v>
      </c>
      <c r="Z14" s="6">
        <f>($F$20-Y14)/X14</f>
        <v>518370</v>
      </c>
      <c r="AA14" s="6">
        <f>INT(Z14/60/24)</f>
        <v>359</v>
      </c>
      <c r="AB14" s="6">
        <f>Y14/X14</f>
        <v>30</v>
      </c>
      <c r="AC14" s="6">
        <f>Y14-W15</f>
        <v>0</v>
      </c>
      <c r="AD14" s="33">
        <f>SQRT((AC14*AC14)/COUNT(W14))</f>
        <v>0</v>
      </c>
      <c r="AE14" s="6">
        <f>1/AA14</f>
        <v>2.7855153203342618E-3</v>
      </c>
      <c r="AF14" s="6">
        <f>AE14*EXP(-AE14*(365*1))</f>
        <v>1.007749673042332E-3</v>
      </c>
      <c r="AG14" s="6">
        <f>1-EXP(-AE14*(365*1))</f>
        <v>0.63821786737780273</v>
      </c>
      <c r="AH14" s="6">
        <f>EXP(-AE14*(365*1))</f>
        <v>0.36178213262219722</v>
      </c>
      <c r="AI14" s="6">
        <f>$F$20/(Y14+$F$20)*100</f>
        <v>99.994213297841554</v>
      </c>
      <c r="AJ14">
        <f t="shared" si="12"/>
        <v>41</v>
      </c>
      <c r="AK14" s="6">
        <f t="shared" si="2"/>
        <v>0.89207405536936502</v>
      </c>
      <c r="AL14" s="6">
        <f t="shared" si="3"/>
        <v>0.89207405536936502</v>
      </c>
      <c r="AM14" s="6">
        <f t="shared" si="4"/>
        <v>0.89207405536936502</v>
      </c>
      <c r="AN14" s="6">
        <f t="shared" si="5"/>
        <v>0.89207405536936502</v>
      </c>
      <c r="AO14" s="6">
        <f t="shared" si="6"/>
        <v>0.89207405536936502</v>
      </c>
      <c r="AP14" s="6">
        <f t="shared" si="7"/>
        <v>0.79528854592489329</v>
      </c>
      <c r="AQ14" s="6">
        <f t="shared" si="8"/>
        <v>0.70854775785744606</v>
      </c>
      <c r="AR14" s="6">
        <f t="shared" si="9"/>
        <v>0.89092684634770691</v>
      </c>
    </row>
    <row r="15" spans="2:44" x14ac:dyDescent="0.25">
      <c r="B15" s="6">
        <f t="shared" si="0"/>
        <v>1477</v>
      </c>
      <c r="C15" s="10">
        <v>1</v>
      </c>
      <c r="D15" s="5">
        <v>41677</v>
      </c>
      <c r="E15" s="6" t="s">
        <v>385</v>
      </c>
      <c r="F15" s="6">
        <v>180</v>
      </c>
      <c r="G15" s="31"/>
      <c r="H15" s="31"/>
      <c r="I15" s="31"/>
      <c r="J15" s="31"/>
      <c r="K15" s="31"/>
      <c r="L15" s="6">
        <f t="shared" si="1"/>
        <v>-717.27272727272725</v>
      </c>
      <c r="M15" s="6">
        <f t="shared" si="10"/>
        <v>216.26586442895953</v>
      </c>
      <c r="N15" s="31"/>
      <c r="O15" s="31"/>
      <c r="P15" s="31"/>
      <c r="Q15" s="31"/>
      <c r="R15" s="31"/>
      <c r="T15" s="31"/>
      <c r="U15" s="31"/>
      <c r="V15" s="43" t="s">
        <v>235</v>
      </c>
      <c r="W15" s="6">
        <f>AVERAGE(W14)</f>
        <v>30</v>
      </c>
      <c r="X15" s="31"/>
      <c r="Y15" s="31"/>
      <c r="Z15" s="31"/>
      <c r="AA15" s="31"/>
      <c r="AB15" s="31"/>
      <c r="AC15" s="31"/>
      <c r="AD15" s="31"/>
      <c r="AE15" s="31"/>
      <c r="AF15" s="31"/>
      <c r="AG15" s="31"/>
      <c r="AH15" s="31"/>
      <c r="AI15" s="31"/>
      <c r="AJ15">
        <f t="shared" si="12"/>
        <v>46</v>
      </c>
      <c r="AK15" s="6">
        <f t="shared" si="2"/>
        <v>0.87973574644561525</v>
      </c>
      <c r="AL15" s="6">
        <f t="shared" si="3"/>
        <v>0.87973574644561525</v>
      </c>
      <c r="AM15" s="6">
        <f t="shared" si="4"/>
        <v>0.87973574644561525</v>
      </c>
      <c r="AN15" s="6">
        <f t="shared" si="5"/>
        <v>0.87973574644561525</v>
      </c>
      <c r="AO15" s="6">
        <f t="shared" si="6"/>
        <v>0.87973574644561525</v>
      </c>
      <c r="AP15" s="6">
        <f t="shared" si="7"/>
        <v>0.77338117535250839</v>
      </c>
      <c r="AQ15" s="6">
        <f t="shared" si="8"/>
        <v>0.67939361462586423</v>
      </c>
      <c r="AR15" s="6">
        <f t="shared" si="9"/>
        <v>0.87846653555584486</v>
      </c>
    </row>
    <row r="16" spans="2:44" x14ac:dyDescent="0.25">
      <c r="B16" s="6">
        <f t="shared" si="0"/>
        <v>2040</v>
      </c>
      <c r="C16" s="10">
        <v>1</v>
      </c>
      <c r="D16" s="5">
        <v>42247</v>
      </c>
      <c r="E16" s="6" t="s">
        <v>385</v>
      </c>
      <c r="F16" s="30">
        <v>7200</v>
      </c>
      <c r="G16" s="31"/>
      <c r="H16" s="31"/>
      <c r="I16" s="31"/>
      <c r="J16" s="31"/>
      <c r="K16" s="31"/>
      <c r="L16" s="6">
        <f>F16-$F$17</f>
        <v>6302.727272727273</v>
      </c>
      <c r="M16" s="6">
        <f t="shared" si="10"/>
        <v>1900.3437745069411</v>
      </c>
      <c r="N16" s="31"/>
      <c r="O16" s="31"/>
      <c r="P16" s="31"/>
      <c r="Q16" s="31"/>
      <c r="R16" s="33">
        <f>F19/(F18+F19)*100</f>
        <v>99.652829840486262</v>
      </c>
      <c r="T16" s="6">
        <f>DAYS360("31-12-2009",U16)</f>
        <v>737</v>
      </c>
      <c r="U16" s="5">
        <v>40925</v>
      </c>
      <c r="V16" s="6" t="s">
        <v>399</v>
      </c>
      <c r="W16" s="33">
        <v>120</v>
      </c>
      <c r="X16" s="31"/>
      <c r="Y16" s="31"/>
      <c r="Z16" s="31"/>
      <c r="AA16" s="31"/>
      <c r="AB16" s="31"/>
      <c r="AC16" s="31"/>
      <c r="AD16" s="31"/>
      <c r="AE16" s="31"/>
      <c r="AF16" s="31"/>
      <c r="AG16" s="31"/>
      <c r="AH16" s="31"/>
      <c r="AI16" s="31"/>
      <c r="AJ16">
        <f t="shared" si="12"/>
        <v>51</v>
      </c>
      <c r="AK16" s="6">
        <f t="shared" si="2"/>
        <v>0.867568089124366</v>
      </c>
      <c r="AL16" s="6">
        <f t="shared" si="3"/>
        <v>0.867568089124366</v>
      </c>
      <c r="AM16" s="6">
        <f t="shared" si="4"/>
        <v>0.867568089124366</v>
      </c>
      <c r="AN16" s="6">
        <f t="shared" si="5"/>
        <v>0.867568089124366</v>
      </c>
      <c r="AO16" s="6">
        <f t="shared" si="6"/>
        <v>0.867568089124366</v>
      </c>
      <c r="AP16" s="6">
        <f t="shared" si="7"/>
        <v>0.752077274914146</v>
      </c>
      <c r="AQ16" s="6">
        <f t="shared" si="8"/>
        <v>0.65143905753105558</v>
      </c>
      <c r="AR16" s="6">
        <f t="shared" si="9"/>
        <v>0.86618049198431224</v>
      </c>
    </row>
    <row r="17" spans="2:44" x14ac:dyDescent="0.25">
      <c r="E17" s="43" t="s">
        <v>235</v>
      </c>
      <c r="F17" s="6">
        <f>AVERAGE(F6:F16)</f>
        <v>897.27272727272725</v>
      </c>
      <c r="T17" s="6">
        <f>DAYS360("31-12-2009",U17)</f>
        <v>838</v>
      </c>
      <c r="U17" s="5">
        <v>41027</v>
      </c>
      <c r="V17" s="6" t="s">
        <v>399</v>
      </c>
      <c r="W17" s="33">
        <v>120</v>
      </c>
      <c r="X17" s="6">
        <f>COUNT(W16:W17)</f>
        <v>2</v>
      </c>
      <c r="Y17" s="6">
        <f>SUM(W16:W17)</f>
        <v>240</v>
      </c>
      <c r="Z17" s="6">
        <f>($F$20-Y17)/X17</f>
        <v>259080</v>
      </c>
      <c r="AA17" s="6">
        <f>INT(Z17/60/24)</f>
        <v>179</v>
      </c>
      <c r="AB17" s="6">
        <f>Y17/X17</f>
        <v>120</v>
      </c>
      <c r="AC17" s="6">
        <f>Y17-W18</f>
        <v>120</v>
      </c>
      <c r="AD17" s="33">
        <f>SQRT((AC17*AC17)/COUNT(W16:W17))</f>
        <v>84.852813742385706</v>
      </c>
      <c r="AE17" s="6">
        <f>1/AA17</f>
        <v>5.5865921787709499E-3</v>
      </c>
      <c r="AF17" s="6">
        <f>AE17*EXP(-AE17*(365*1))</f>
        <v>7.2706698111458005E-4</v>
      </c>
      <c r="AG17" s="6">
        <f>1-EXP(-AE17*(365*1))</f>
        <v>0.86985501038049018</v>
      </c>
      <c r="AH17" s="6">
        <f>EXP(-AE17*(365*1))</f>
        <v>0.13014498961950982</v>
      </c>
      <c r="AI17" s="6">
        <f>$F$20/(Y17+$F$20)*100</f>
        <v>99.953725127255893</v>
      </c>
      <c r="AJ17">
        <f t="shared" si="12"/>
        <v>56</v>
      </c>
      <c r="AK17" s="6">
        <f t="shared" si="2"/>
        <v>0.85556872311705456</v>
      </c>
      <c r="AL17" s="6">
        <f t="shared" si="3"/>
        <v>0.85556872311705456</v>
      </c>
      <c r="AM17" s="6">
        <f t="shared" si="4"/>
        <v>0.85556872311705456</v>
      </c>
      <c r="AN17" s="6">
        <f t="shared" si="5"/>
        <v>0.85556872311705456</v>
      </c>
      <c r="AO17" s="6">
        <f t="shared" si="6"/>
        <v>0.85556872311705456</v>
      </c>
      <c r="AP17" s="6">
        <f t="shared" si="7"/>
        <v>0.73136022115417709</v>
      </c>
      <c r="AQ17" s="6">
        <f t="shared" si="8"/>
        <v>0.62463472800027442</v>
      </c>
      <c r="AR17" s="6">
        <f t="shared" si="9"/>
        <v>0.8540662783693368</v>
      </c>
    </row>
    <row r="18" spans="2:44" x14ac:dyDescent="0.25">
      <c r="E18" s="43" t="s">
        <v>261</v>
      </c>
      <c r="F18" s="6">
        <f>(SUM(F12:F16))</f>
        <v>9030</v>
      </c>
      <c r="G18" t="s">
        <v>237</v>
      </c>
      <c r="T18" s="31"/>
      <c r="U18" s="31"/>
      <c r="V18" s="44" t="s">
        <v>235</v>
      </c>
      <c r="W18" s="6">
        <f>AVERAGE(W17)</f>
        <v>120</v>
      </c>
      <c r="X18" s="31"/>
      <c r="Y18" s="31"/>
      <c r="Z18" s="31"/>
      <c r="AA18" s="31"/>
      <c r="AB18" s="31"/>
      <c r="AC18" s="31"/>
      <c r="AD18" s="31"/>
      <c r="AE18" s="31"/>
      <c r="AF18" s="31"/>
      <c r="AG18" s="31"/>
      <c r="AH18" s="31"/>
      <c r="AI18" s="31"/>
      <c r="AJ18">
        <f t="shared" si="12"/>
        <v>61</v>
      </c>
      <c r="AK18" s="6">
        <f t="shared" si="2"/>
        <v>0.84373532078035562</v>
      </c>
      <c r="AL18" s="6">
        <f t="shared" si="3"/>
        <v>0.84373532078035562</v>
      </c>
      <c r="AM18" s="6">
        <f t="shared" si="4"/>
        <v>0.84373532078035562</v>
      </c>
      <c r="AN18" s="6">
        <f t="shared" si="5"/>
        <v>0.84373532078035562</v>
      </c>
      <c r="AO18" s="6">
        <f t="shared" si="6"/>
        <v>0.84373532078035562</v>
      </c>
      <c r="AP18" s="6">
        <f t="shared" si="7"/>
        <v>0.71121384853404512</v>
      </c>
      <c r="AQ18" s="6">
        <f t="shared" si="8"/>
        <v>0.59893329838513198</v>
      </c>
      <c r="AR18" s="6">
        <f t="shared" si="9"/>
        <v>0.84212149153419236</v>
      </c>
    </row>
    <row r="19" spans="2:44" x14ac:dyDescent="0.25">
      <c r="E19" s="43" t="s">
        <v>262</v>
      </c>
      <c r="F19" s="6">
        <f>60*24*30*12*5</f>
        <v>2592000</v>
      </c>
      <c r="G19" t="s">
        <v>237</v>
      </c>
      <c r="T19" s="6">
        <f>DAYS360("31-12-2009",U19)</f>
        <v>1153</v>
      </c>
      <c r="U19" s="5">
        <v>41346</v>
      </c>
      <c r="V19" s="6" t="s">
        <v>399</v>
      </c>
      <c r="W19" s="33">
        <v>120</v>
      </c>
      <c r="X19" s="31"/>
      <c r="Y19" s="31"/>
      <c r="Z19" s="31"/>
      <c r="AA19" s="31"/>
      <c r="AB19" s="31"/>
      <c r="AC19" s="31"/>
      <c r="AD19" s="31"/>
      <c r="AE19" s="31"/>
      <c r="AF19" s="31"/>
      <c r="AG19" s="31"/>
      <c r="AH19" s="31"/>
      <c r="AI19" s="31"/>
      <c r="AJ19">
        <f t="shared" si="12"/>
        <v>66</v>
      </c>
      <c r="AK19" s="6">
        <f t="shared" si="2"/>
        <v>0.83206558666466413</v>
      </c>
      <c r="AL19" s="6">
        <f t="shared" si="3"/>
        <v>0.83206558666466413</v>
      </c>
      <c r="AM19" s="6">
        <f t="shared" si="4"/>
        <v>0.83206558666466413</v>
      </c>
      <c r="AN19" s="6">
        <f t="shared" si="5"/>
        <v>0.83206558666466413</v>
      </c>
      <c r="AO19" s="6">
        <f t="shared" si="6"/>
        <v>0.83206558666466413</v>
      </c>
      <c r="AP19" s="6">
        <f t="shared" si="7"/>
        <v>0.69162243681827928</v>
      </c>
      <c r="AQ19" s="6">
        <f t="shared" si="8"/>
        <v>0.57428938839650279</v>
      </c>
      <c r="AR19" s="6">
        <f t="shared" si="9"/>
        <v>0.83034376191246395</v>
      </c>
    </row>
    <row r="20" spans="2:44" x14ac:dyDescent="0.25">
      <c r="E20" s="43" t="s">
        <v>268</v>
      </c>
      <c r="F20" s="6">
        <v>518400</v>
      </c>
      <c r="G20" t="s">
        <v>237</v>
      </c>
      <c r="T20" s="6">
        <f>DAYS360("31-12-2009",U20)</f>
        <v>1217</v>
      </c>
      <c r="U20" s="5">
        <v>41411</v>
      </c>
      <c r="V20" s="6" t="s">
        <v>399</v>
      </c>
      <c r="W20" s="33">
        <f>26*60</f>
        <v>1560</v>
      </c>
      <c r="X20" s="31"/>
      <c r="Y20" s="31"/>
      <c r="Z20" s="31"/>
      <c r="AA20" s="31"/>
      <c r="AB20" s="31"/>
      <c r="AC20" s="31"/>
      <c r="AD20" s="31"/>
      <c r="AE20" s="31"/>
      <c r="AF20" s="31"/>
      <c r="AG20" s="31"/>
      <c r="AH20" s="31"/>
      <c r="AI20" s="31"/>
      <c r="AJ20">
        <f t="shared" si="12"/>
        <v>71</v>
      </c>
      <c r="AK20" s="6">
        <f t="shared" si="2"/>
        <v>0.82055725706882254</v>
      </c>
      <c r="AL20" s="6">
        <f t="shared" si="3"/>
        <v>0.82055725706882254</v>
      </c>
      <c r="AM20" s="6">
        <f t="shared" si="4"/>
        <v>0.82055725706882254</v>
      </c>
      <c r="AN20" s="6">
        <f t="shared" si="5"/>
        <v>0.82055725706882254</v>
      </c>
      <c r="AO20" s="6">
        <f t="shared" si="6"/>
        <v>0.82055725706882254</v>
      </c>
      <c r="AP20" s="6">
        <f t="shared" si="7"/>
        <v>0.67257069880797882</v>
      </c>
      <c r="AQ20" s="6">
        <f t="shared" si="8"/>
        <v>0.55065948497782913</v>
      </c>
      <c r="AR20" s="6">
        <f t="shared" si="9"/>
        <v>0.81873075307798182</v>
      </c>
    </row>
    <row r="21" spans="2:44" x14ac:dyDescent="0.25">
      <c r="T21" s="6">
        <f>DAYS360("31-12-2009",U21)</f>
        <v>1357</v>
      </c>
      <c r="U21" s="5">
        <v>41554</v>
      </c>
      <c r="V21" s="6" t="s">
        <v>399</v>
      </c>
      <c r="W21" s="33">
        <v>60</v>
      </c>
      <c r="X21" s="6">
        <f>COUNT(W19:W21)</f>
        <v>3</v>
      </c>
      <c r="Y21" s="6">
        <f>SUM(W19:W21)</f>
        <v>1740</v>
      </c>
      <c r="Z21" s="6">
        <f>($F$20-Y21)/X21</f>
        <v>172220</v>
      </c>
      <c r="AA21" s="6">
        <f>INT(Z21/60/24)</f>
        <v>119</v>
      </c>
      <c r="AB21" s="6">
        <f>Y21/X21</f>
        <v>580</v>
      </c>
      <c r="AC21" s="6">
        <f>Y21-W22</f>
        <v>1680</v>
      </c>
      <c r="AD21" s="33">
        <f>SQRT((AC21*AC21)/COUNT(W19:W21))</f>
        <v>969.94845223857124</v>
      </c>
      <c r="AE21" s="6">
        <f>1/AA21</f>
        <v>8.4033613445378148E-3</v>
      </c>
      <c r="AF21" s="6">
        <f>AE21*EXP(-AE21*(365*1))</f>
        <v>3.9117701217351283E-4</v>
      </c>
      <c r="AG21" s="6">
        <f>1-EXP(-AE21*(365*1))</f>
        <v>0.95344993555135193</v>
      </c>
      <c r="AH21" s="6">
        <f>EXP(-AE21*(365*1))</f>
        <v>4.6550064448648031E-2</v>
      </c>
      <c r="AI21" s="6">
        <f>$F$20/(Y21+$F$20)*100</f>
        <v>99.665474679893876</v>
      </c>
      <c r="AJ21">
        <f t="shared" si="12"/>
        <v>76</v>
      </c>
      <c r="AK21" s="6">
        <f t="shared" si="2"/>
        <v>0.80920809960100692</v>
      </c>
      <c r="AL21" s="6">
        <f t="shared" si="3"/>
        <v>0.80920809960100692</v>
      </c>
      <c r="AM21" s="6">
        <f t="shared" si="4"/>
        <v>0.80920809960100692</v>
      </c>
      <c r="AN21" s="6">
        <f t="shared" si="5"/>
        <v>0.80920809960100692</v>
      </c>
      <c r="AO21" s="6">
        <f t="shared" si="6"/>
        <v>0.80920809960100692</v>
      </c>
      <c r="AP21" s="6">
        <f t="shared" si="7"/>
        <v>0.65404376841219558</v>
      </c>
      <c r="AQ21" s="6">
        <f t="shared" si="8"/>
        <v>0.52800186547534433</v>
      </c>
      <c r="AR21" s="6">
        <f t="shared" si="9"/>
        <v>0.80728016128132896</v>
      </c>
    </row>
    <row r="22" spans="2:44" x14ac:dyDescent="0.25">
      <c r="B22" s="32" t="s">
        <v>193</v>
      </c>
      <c r="E22" s="61"/>
      <c r="F22" s="11"/>
      <c r="T22" s="31"/>
      <c r="U22" s="31"/>
      <c r="V22" s="44" t="s">
        <v>235</v>
      </c>
      <c r="W22" s="6">
        <f>AVERAGE(W21)</f>
        <v>60</v>
      </c>
      <c r="X22" s="31"/>
      <c r="Y22" s="31"/>
      <c r="Z22" s="31"/>
      <c r="AA22" s="31"/>
      <c r="AB22" s="31"/>
      <c r="AC22" s="31"/>
      <c r="AD22" s="31"/>
      <c r="AE22" s="31"/>
      <c r="AF22" s="31"/>
      <c r="AG22" s="31"/>
      <c r="AH22" s="31"/>
      <c r="AI22" s="31"/>
      <c r="AJ22">
        <f t="shared" si="12"/>
        <v>81</v>
      </c>
      <c r="AK22" s="6">
        <f t="shared" si="2"/>
        <v>0.79801591274568617</v>
      </c>
      <c r="AL22" s="6">
        <f t="shared" si="3"/>
        <v>0.79801591274568617</v>
      </c>
      <c r="AM22" s="6">
        <f t="shared" si="4"/>
        <v>0.79801591274568617</v>
      </c>
      <c r="AN22" s="6">
        <f t="shared" si="5"/>
        <v>0.79801591274568617</v>
      </c>
      <c r="AO22" s="6">
        <f t="shared" si="6"/>
        <v>0.79801591274568617</v>
      </c>
      <c r="AP22" s="6">
        <f t="shared" si="7"/>
        <v>0.63602718904790756</v>
      </c>
      <c r="AQ22" s="6">
        <f t="shared" si="8"/>
        <v>0.50627652396956024</v>
      </c>
      <c r="AR22" s="6">
        <f t="shared" si="9"/>
        <v>0.79598971499283078</v>
      </c>
    </row>
    <row r="23" spans="2:44" x14ac:dyDescent="0.25">
      <c r="B23" t="s">
        <v>256</v>
      </c>
      <c r="T23" s="6">
        <f>DAYS360("31-12-2009",U23)</f>
        <v>2040</v>
      </c>
      <c r="U23" s="5">
        <v>42247</v>
      </c>
      <c r="V23" s="6" t="s">
        <v>399</v>
      </c>
      <c r="W23" s="30">
        <v>7200</v>
      </c>
      <c r="X23" s="6">
        <f>COUNT(W23)</f>
        <v>1</v>
      </c>
      <c r="Y23" s="6">
        <f>SUM(W23)</f>
        <v>7200</v>
      </c>
      <c r="Z23" s="6">
        <f>($F$20-Y23)/X23</f>
        <v>511200</v>
      </c>
      <c r="AA23" s="6">
        <f>INT(Z23/60/24)</f>
        <v>355</v>
      </c>
      <c r="AB23" s="6">
        <f>Y23/X23</f>
        <v>7200</v>
      </c>
      <c r="AC23" s="6">
        <f>Y23-W24</f>
        <v>0</v>
      </c>
      <c r="AD23" s="33">
        <f>SQRT((AC23*AC23)/COUNT(W23))</f>
        <v>0</v>
      </c>
      <c r="AE23" s="6">
        <f>1/AA23</f>
        <v>2.8169014084507044E-3</v>
      </c>
      <c r="AF23" s="6">
        <f>AE23*EXP(-AE23*(365*1))</f>
        <v>1.0074964340442004E-3</v>
      </c>
      <c r="AG23" s="6">
        <f>1-EXP(-AE23*(365*1))</f>
        <v>0.64233876591430894</v>
      </c>
      <c r="AH23" s="6">
        <f>EXP(-AE23*(365*1))</f>
        <v>0.35766123408569112</v>
      </c>
      <c r="AI23" s="6">
        <f>$F$20/(Y23+$F$20)*100</f>
        <v>98.630136986301366</v>
      </c>
      <c r="AJ23">
        <f t="shared" si="12"/>
        <v>86</v>
      </c>
      <c r="AK23" s="6">
        <f t="shared" si="2"/>
        <v>0.78697852543657143</v>
      </c>
      <c r="AL23" s="6">
        <f t="shared" si="3"/>
        <v>0.78697852543657143</v>
      </c>
      <c r="AM23" s="6">
        <f t="shared" si="4"/>
        <v>0.78697852543657143</v>
      </c>
      <c r="AN23" s="6">
        <f t="shared" si="5"/>
        <v>0.78697852543657143</v>
      </c>
      <c r="AO23" s="6">
        <f t="shared" si="6"/>
        <v>0.78697852543657143</v>
      </c>
      <c r="AP23" s="6">
        <f t="shared" si="7"/>
        <v>0.61850690235953287</v>
      </c>
      <c r="AQ23" s="6">
        <f t="shared" si="8"/>
        <v>0.48544510063794399</v>
      </c>
      <c r="AR23" s="6">
        <f t="shared" si="9"/>
        <v>0.78485717445193715</v>
      </c>
    </row>
    <row r="24" spans="2:44" x14ac:dyDescent="0.25">
      <c r="B24" t="s">
        <v>258</v>
      </c>
      <c r="T24" s="31"/>
      <c r="U24" s="31"/>
      <c r="V24" s="43" t="s">
        <v>235</v>
      </c>
      <c r="W24" s="6">
        <f>AVERAGE(W23)</f>
        <v>7200</v>
      </c>
      <c r="X24" s="31"/>
      <c r="Y24" s="31"/>
      <c r="Z24" s="31"/>
      <c r="AA24" s="31"/>
      <c r="AB24" s="31"/>
      <c r="AC24" s="31"/>
      <c r="AD24" s="31"/>
      <c r="AE24" s="31"/>
      <c r="AF24" s="31"/>
      <c r="AG24" s="31"/>
      <c r="AH24" s="31"/>
      <c r="AI24" s="31"/>
      <c r="AJ24">
        <f t="shared" si="12"/>
        <v>91</v>
      </c>
      <c r="AK24" s="6">
        <f t="shared" si="2"/>
        <v>0.77609379663547085</v>
      </c>
      <c r="AL24" s="6">
        <f t="shared" si="3"/>
        <v>0.77609379663547085</v>
      </c>
      <c r="AM24" s="6">
        <f t="shared" si="4"/>
        <v>0.77609379663547085</v>
      </c>
      <c r="AN24" s="6">
        <f t="shared" si="5"/>
        <v>0.77609379663547085</v>
      </c>
      <c r="AO24" s="6">
        <f t="shared" si="6"/>
        <v>0.77609379663547085</v>
      </c>
      <c r="AP24" s="6">
        <f t="shared" si="7"/>
        <v>0.60146923724917967</v>
      </c>
      <c r="AQ24" s="6">
        <f t="shared" si="8"/>
        <v>0.46547081402406171</v>
      </c>
      <c r="AR24" s="6">
        <f t="shared" si="9"/>
        <v>0.77388033122290611</v>
      </c>
    </row>
    <row r="25" spans="2:44" x14ac:dyDescent="0.25">
      <c r="B25" t="s">
        <v>259</v>
      </c>
      <c r="T25" s="60"/>
      <c r="U25" s="60"/>
      <c r="V25" s="61"/>
      <c r="W25" s="60"/>
      <c r="X25" s="60"/>
      <c r="Y25" s="60"/>
      <c r="Z25" s="60"/>
      <c r="AA25" s="60"/>
      <c r="AB25" s="60"/>
      <c r="AC25" s="60"/>
      <c r="AD25" s="60"/>
      <c r="AE25" s="60"/>
      <c r="AF25" s="60"/>
      <c r="AG25" s="60"/>
      <c r="AH25" s="60"/>
      <c r="AI25" s="60"/>
      <c r="AJ25">
        <f t="shared" si="12"/>
        <v>96</v>
      </c>
      <c r="AK25" s="6">
        <f t="shared" si="2"/>
        <v>0.76535961491697058</v>
      </c>
      <c r="AL25" s="6">
        <f t="shared" si="3"/>
        <v>0.76535961491697058</v>
      </c>
      <c r="AM25" s="6">
        <f t="shared" si="4"/>
        <v>0.76535961491697058</v>
      </c>
      <c r="AN25" s="6">
        <f t="shared" si="5"/>
        <v>0.76535961491697058</v>
      </c>
      <c r="AO25" s="6">
        <f t="shared" si="6"/>
        <v>0.76535961491697058</v>
      </c>
      <c r="AP25" s="6">
        <f t="shared" si="7"/>
        <v>0.5849008992090744</v>
      </c>
      <c r="AQ25" s="6">
        <f t="shared" si="8"/>
        <v>0.44631839609359841</v>
      </c>
      <c r="AR25" s="6">
        <f t="shared" si="9"/>
        <v>0.76305700775670182</v>
      </c>
    </row>
    <row r="26" spans="2:44" x14ac:dyDescent="0.25">
      <c r="T26" s="60"/>
      <c r="U26" s="60"/>
      <c r="V26" s="60"/>
      <c r="W26" s="60"/>
      <c r="X26" s="60"/>
      <c r="Y26" s="60"/>
      <c r="Z26" s="60"/>
      <c r="AA26" s="60"/>
      <c r="AB26" s="60"/>
      <c r="AC26" s="60"/>
      <c r="AD26" s="60"/>
      <c r="AE26" s="60"/>
      <c r="AF26" s="60"/>
      <c r="AG26" s="60"/>
      <c r="AH26" s="60"/>
      <c r="AI26" s="60"/>
      <c r="AJ26">
        <f t="shared" si="12"/>
        <v>101</v>
      </c>
      <c r="AK26" s="6">
        <f t="shared" si="2"/>
        <v>0.75477389805885875</v>
      </c>
      <c r="AL26" s="6">
        <f t="shared" si="3"/>
        <v>0.75477389805885875</v>
      </c>
      <c r="AM26" s="6">
        <f t="shared" si="4"/>
        <v>0.75477389805885875</v>
      </c>
      <c r="AN26" s="6">
        <f t="shared" si="5"/>
        <v>0.75477389805885875</v>
      </c>
      <c r="AO26" s="6">
        <f t="shared" si="6"/>
        <v>0.75477389805885875</v>
      </c>
      <c r="AP26" s="6">
        <f t="shared" si="7"/>
        <v>0.56878895994784373</v>
      </c>
      <c r="AQ26" s="6">
        <f t="shared" si="8"/>
        <v>0.42795402996258514</v>
      </c>
      <c r="AR26" s="6">
        <f t="shared" si="9"/>
        <v>0.75238505695901969</v>
      </c>
    </row>
    <row r="27" spans="2:44" x14ac:dyDescent="0.25">
      <c r="B27" s="37" t="s">
        <v>209</v>
      </c>
      <c r="T27" s="60"/>
      <c r="U27" s="60"/>
      <c r="V27" s="60"/>
      <c r="W27" s="60"/>
      <c r="X27" s="60"/>
      <c r="Y27" s="60"/>
      <c r="Z27" s="60"/>
      <c r="AA27" s="60"/>
      <c r="AB27" s="60"/>
      <c r="AC27" s="60"/>
      <c r="AD27" s="60"/>
      <c r="AE27" s="60"/>
      <c r="AF27" s="60"/>
      <c r="AG27" s="60"/>
      <c r="AH27" s="60"/>
      <c r="AI27" s="60"/>
      <c r="AJ27">
        <f t="shared" si="12"/>
        <v>106</v>
      </c>
      <c r="AK27" s="6">
        <f t="shared" si="2"/>
        <v>0.74433459263821511</v>
      </c>
      <c r="AL27" s="6">
        <f t="shared" si="3"/>
        <v>0.74433459263821511</v>
      </c>
      <c r="AM27" s="6">
        <f t="shared" si="4"/>
        <v>0.74433459263821511</v>
      </c>
      <c r="AN27" s="6">
        <f t="shared" si="5"/>
        <v>0.74433459263821511</v>
      </c>
      <c r="AO27" s="6">
        <f t="shared" si="6"/>
        <v>0.74433459263821511</v>
      </c>
      <c r="AP27" s="6">
        <f t="shared" si="7"/>
        <v>0.5531208473025554</v>
      </c>
      <c r="AQ27" s="6">
        <f t="shared" si="8"/>
        <v>0.41034529018788096</v>
      </c>
      <c r="AR27" s="6">
        <f t="shared" si="9"/>
        <v>0.7418623617643535</v>
      </c>
    </row>
    <row r="28" spans="2:44" x14ac:dyDescent="0.25">
      <c r="B28" s="37" t="s">
        <v>210</v>
      </c>
      <c r="T28" s="60"/>
      <c r="U28" s="60"/>
      <c r="V28" s="60"/>
      <c r="W28" s="60"/>
      <c r="X28" s="60"/>
      <c r="Y28" s="60"/>
      <c r="Z28" s="60"/>
      <c r="AA28" s="60"/>
      <c r="AB28" s="60"/>
      <c r="AC28" s="60"/>
      <c r="AD28" s="60"/>
      <c r="AE28" s="60"/>
      <c r="AF28" s="60"/>
      <c r="AG28" s="60"/>
      <c r="AH28" s="60"/>
      <c r="AI28" s="60"/>
      <c r="AJ28">
        <f t="shared" si="12"/>
        <v>111</v>
      </c>
      <c r="AK28" s="6">
        <f t="shared" si="2"/>
        <v>0.73403967363308709</v>
      </c>
      <c r="AL28" s="6">
        <f t="shared" si="3"/>
        <v>0.73403967363308709</v>
      </c>
      <c r="AM28" s="6">
        <f t="shared" si="4"/>
        <v>0.73403967363308709</v>
      </c>
      <c r="AN28" s="6">
        <f t="shared" si="5"/>
        <v>0.73403967363308709</v>
      </c>
      <c r="AO28" s="6">
        <f t="shared" si="6"/>
        <v>0.73403967363308709</v>
      </c>
      <c r="AP28" s="6">
        <f t="shared" si="7"/>
        <v>0.53788433542864633</v>
      </c>
      <c r="AQ28" s="6">
        <f t="shared" si="8"/>
        <v>0.39346108551448272</v>
      </c>
      <c r="AR28" s="6">
        <f t="shared" si="9"/>
        <v>0.73148683471601827</v>
      </c>
    </row>
    <row r="29" spans="2:44" x14ac:dyDescent="0.25">
      <c r="B29" s="40" t="s">
        <v>222</v>
      </c>
      <c r="T29" s="60"/>
      <c r="U29" s="60"/>
      <c r="V29" s="60"/>
      <c r="W29" s="60"/>
      <c r="X29" s="60"/>
      <c r="Y29" s="60"/>
      <c r="Z29" s="60"/>
      <c r="AA29" s="60"/>
      <c r="AB29" s="60"/>
      <c r="AC29" s="60"/>
      <c r="AD29" s="60"/>
      <c r="AE29" s="60"/>
      <c r="AF29" s="60"/>
      <c r="AG29" s="60"/>
      <c r="AH29" s="60"/>
      <c r="AI29" s="60"/>
      <c r="AJ29">
        <f t="shared" si="12"/>
        <v>116</v>
      </c>
      <c r="AK29" s="6">
        <f t="shared" si="2"/>
        <v>0.7238871440296748</v>
      </c>
      <c r="AL29" s="6">
        <f t="shared" si="3"/>
        <v>0.7238871440296748</v>
      </c>
      <c r="AM29" s="6">
        <f t="shared" si="4"/>
        <v>0.7238871440296748</v>
      </c>
      <c r="AN29" s="6">
        <f t="shared" si="5"/>
        <v>0.7238871440296748</v>
      </c>
      <c r="AO29" s="6">
        <f t="shared" si="6"/>
        <v>0.7238871440296748</v>
      </c>
      <c r="AP29" s="6">
        <f t="shared" si="7"/>
        <v>0.52306753526008321</v>
      </c>
      <c r="AQ29" s="6">
        <f t="shared" si="8"/>
        <v>0.37727160397857362</v>
      </c>
      <c r="AR29" s="6">
        <f t="shared" si="9"/>
        <v>0.7212564175520485</v>
      </c>
    </row>
    <row r="30" spans="2:44" x14ac:dyDescent="0.25">
      <c r="B30" s="40" t="s">
        <v>232</v>
      </c>
      <c r="T30" s="60"/>
      <c r="U30" s="65"/>
      <c r="V30" s="60"/>
      <c r="W30" s="60"/>
      <c r="X30" s="60"/>
      <c r="Y30" s="60"/>
      <c r="Z30" s="60"/>
      <c r="AA30" s="60"/>
      <c r="AB30" s="60"/>
      <c r="AC30" s="60"/>
      <c r="AD30" s="60"/>
      <c r="AE30" s="60"/>
      <c r="AF30" s="60"/>
      <c r="AG30" s="60"/>
      <c r="AH30" s="60"/>
      <c r="AI30" s="60"/>
      <c r="AJ30">
        <f t="shared" si="12"/>
        <v>121</v>
      </c>
      <c r="AK30" s="6">
        <f t="shared" si="2"/>
        <v>0.7138750344349496</v>
      </c>
      <c r="AL30" s="6">
        <f t="shared" si="3"/>
        <v>0.7138750344349496</v>
      </c>
      <c r="AM30" s="6">
        <f t="shared" si="4"/>
        <v>0.7138750344349496</v>
      </c>
      <c r="AN30" s="6">
        <f t="shared" si="5"/>
        <v>0.7138750344349496</v>
      </c>
      <c r="AO30" s="6">
        <f t="shared" si="6"/>
        <v>0.7138750344349496</v>
      </c>
      <c r="AP30" s="6">
        <f t="shared" si="7"/>
        <v>0.50865888523231229</v>
      </c>
      <c r="AQ30" s="6">
        <f t="shared" si="8"/>
        <v>0.36174826026937951</v>
      </c>
      <c r="AR30" s="6">
        <f t="shared" si="9"/>
        <v>0.71116908079688679</v>
      </c>
    </row>
    <row r="31" spans="2:44" x14ac:dyDescent="0.25">
      <c r="B31" s="40"/>
      <c r="T31" s="60"/>
      <c r="U31" s="60"/>
      <c r="V31" s="61"/>
      <c r="W31" s="60"/>
      <c r="X31" s="60"/>
      <c r="Y31" s="60"/>
      <c r="Z31" s="60"/>
      <c r="AA31" s="60"/>
      <c r="AB31" s="60"/>
      <c r="AC31" s="60"/>
      <c r="AD31" s="60"/>
      <c r="AE31" s="60"/>
      <c r="AF31" s="60"/>
      <c r="AG31" s="60"/>
      <c r="AH31" s="60"/>
      <c r="AI31" s="60"/>
      <c r="AJ31">
        <f t="shared" si="12"/>
        <v>126</v>
      </c>
      <c r="AK31" s="6">
        <f t="shared" si="2"/>
        <v>0.70400140269462974</v>
      </c>
      <c r="AL31" s="6">
        <f t="shared" si="3"/>
        <v>0.70400140269462974</v>
      </c>
      <c r="AM31" s="6">
        <f t="shared" si="4"/>
        <v>0.70400140269462974</v>
      </c>
      <c r="AN31" s="6">
        <f t="shared" si="5"/>
        <v>0.70400140269462974</v>
      </c>
      <c r="AO31" s="6">
        <f t="shared" si="6"/>
        <v>0.70400140269462974</v>
      </c>
      <c r="AP31" s="6">
        <f t="shared" si="7"/>
        <v>0.4946471422607584</v>
      </c>
      <c r="AQ31" s="6">
        <f t="shared" si="8"/>
        <v>0.34686364525689234</v>
      </c>
      <c r="AR31" s="6">
        <f t="shared" si="9"/>
        <v>0.70122282335878316</v>
      </c>
    </row>
    <row r="32" spans="2:44" x14ac:dyDescent="0.25">
      <c r="B32" t="s">
        <v>234</v>
      </c>
      <c r="T32" s="60"/>
      <c r="U32" s="60"/>
      <c r="V32" s="60"/>
      <c r="W32" s="60"/>
      <c r="X32" s="60"/>
      <c r="Y32" s="60"/>
      <c r="Z32" s="60"/>
      <c r="AA32" s="60"/>
      <c r="AB32" s="60"/>
      <c r="AC32" s="60"/>
      <c r="AD32" s="60"/>
      <c r="AE32" s="60"/>
      <c r="AF32" s="60"/>
      <c r="AG32" s="60"/>
      <c r="AH32" s="60"/>
      <c r="AI32" s="60"/>
      <c r="AJ32">
        <f t="shared" si="12"/>
        <v>131</v>
      </c>
      <c r="AK32" s="6">
        <f t="shared" si="2"/>
        <v>0.69426433351644024</v>
      </c>
      <c r="AL32" s="6">
        <f t="shared" si="3"/>
        <v>0.69426433351644024</v>
      </c>
      <c r="AM32" s="6">
        <f t="shared" si="4"/>
        <v>0.69426433351644024</v>
      </c>
      <c r="AN32" s="6">
        <f t="shared" si="5"/>
        <v>0.69426433351644024</v>
      </c>
      <c r="AO32" s="6">
        <f t="shared" si="6"/>
        <v>0.69426433351644024</v>
      </c>
      <c r="AP32" s="6">
        <f t="shared" si="7"/>
        <v>0.48102137296783437</v>
      </c>
      <c r="AQ32" s="6">
        <f t="shared" si="8"/>
        <v>0.33259147759634267</v>
      </c>
      <c r="AR32" s="6">
        <f t="shared" si="9"/>
        <v>0.69141567213282573</v>
      </c>
    </row>
    <row r="33" spans="2:44" x14ac:dyDescent="0.25">
      <c r="T33" s="60"/>
      <c r="U33" s="60"/>
      <c r="V33" s="60"/>
      <c r="W33" s="60"/>
      <c r="X33" s="60"/>
      <c r="Y33" s="60"/>
      <c r="Z33" s="60"/>
      <c r="AA33" s="60"/>
      <c r="AB33" s="60"/>
      <c r="AC33" s="60"/>
      <c r="AD33" s="60"/>
      <c r="AE33" s="60"/>
      <c r="AF33" s="60"/>
      <c r="AG33" s="60"/>
      <c r="AH33" s="60"/>
      <c r="AI33" s="60"/>
      <c r="AJ33">
        <f t="shared" si="12"/>
        <v>136</v>
      </c>
      <c r="AK33" s="6">
        <f t="shared" si="2"/>
        <v>0.68466193809858422</v>
      </c>
      <c r="AL33" s="6">
        <f t="shared" si="3"/>
        <v>0.68466193809858422</v>
      </c>
      <c r="AM33" s="6">
        <f t="shared" si="4"/>
        <v>0.68466193809858422</v>
      </c>
      <c r="AN33" s="6">
        <f t="shared" si="5"/>
        <v>0.68466193809858422</v>
      </c>
      <c r="AO33" s="6">
        <f t="shared" si="6"/>
        <v>0.68466193809858422</v>
      </c>
      <c r="AP33" s="6">
        <f t="shared" si="7"/>
        <v>0.46777094515161527</v>
      </c>
      <c r="AQ33" s="6">
        <f t="shared" si="8"/>
        <v>0.31890655732397044</v>
      </c>
      <c r="AR33" s="6">
        <f t="shared" si="9"/>
        <v>0.68174568160952198</v>
      </c>
    </row>
    <row r="34" spans="2:44" x14ac:dyDescent="0.25">
      <c r="B34" t="s">
        <v>225</v>
      </c>
      <c r="T34" s="60"/>
      <c r="U34" s="60"/>
      <c r="V34" s="60"/>
      <c r="W34" s="60"/>
      <c r="X34" s="60"/>
      <c r="Y34" s="60"/>
      <c r="Z34" s="60"/>
      <c r="AA34" s="60"/>
      <c r="AB34" s="60"/>
      <c r="AC34" s="60"/>
      <c r="AD34" s="60"/>
      <c r="AE34" s="60"/>
      <c r="AF34" s="60"/>
      <c r="AG34" s="60"/>
      <c r="AH34" s="60"/>
      <c r="AI34" s="60"/>
      <c r="AJ34">
        <f t="shared" si="12"/>
        <v>141</v>
      </c>
      <c r="AK34" s="6">
        <f t="shared" si="2"/>
        <v>0.67519235376335118</v>
      </c>
      <c r="AL34" s="6">
        <f t="shared" si="3"/>
        <v>0.67519235376335118</v>
      </c>
      <c r="AM34" s="6">
        <f t="shared" si="4"/>
        <v>0.67519235376335118</v>
      </c>
      <c r="AN34" s="6">
        <f t="shared" si="5"/>
        <v>0.67519235376335118</v>
      </c>
      <c r="AO34" s="6">
        <f t="shared" si="6"/>
        <v>0.67519235376335118</v>
      </c>
      <c r="AP34" s="6">
        <f t="shared" si="7"/>
        <v>0.45488551948951989</v>
      </c>
      <c r="AQ34" s="6">
        <f t="shared" si="8"/>
        <v>0.30578472136216034</v>
      </c>
      <c r="AR34" s="6">
        <f t="shared" si="9"/>
        <v>0.67221093348885619</v>
      </c>
    </row>
    <row r="35" spans="2:44" x14ac:dyDescent="0.25">
      <c r="C35" t="s">
        <v>226</v>
      </c>
      <c r="T35" s="60"/>
      <c r="U35" s="60"/>
      <c r="V35" s="60"/>
      <c r="W35" s="60"/>
      <c r="X35" s="60"/>
      <c r="Y35" s="60"/>
      <c r="Z35" s="60"/>
      <c r="AA35" s="60"/>
      <c r="AB35" s="60"/>
      <c r="AC35" s="60"/>
      <c r="AD35" s="60"/>
      <c r="AE35" s="60"/>
      <c r="AF35" s="60"/>
      <c r="AG35" s="60"/>
      <c r="AH35" s="60"/>
      <c r="AI35" s="60"/>
      <c r="AJ35">
        <f t="shared" si="12"/>
        <v>146</v>
      </c>
      <c r="AK35" s="6">
        <f t="shared" si="2"/>
        <v>0.66585374359579441</v>
      </c>
      <c r="AL35" s="6">
        <f t="shared" si="3"/>
        <v>0.66585374359579441</v>
      </c>
      <c r="AM35" s="6">
        <f t="shared" si="4"/>
        <v>0.66585374359579441</v>
      </c>
      <c r="AN35" s="6">
        <f t="shared" si="5"/>
        <v>0.66585374359579441</v>
      </c>
      <c r="AO35" s="6">
        <f t="shared" si="6"/>
        <v>0.66585374359579441</v>
      </c>
      <c r="AP35" s="6">
        <f t="shared" si="7"/>
        <v>0.44235504147052696</v>
      </c>
      <c r="AQ35" s="6">
        <f t="shared" si="8"/>
        <v>0.29320280085537731</v>
      </c>
      <c r="AR35" s="6">
        <f t="shared" si="9"/>
        <v>0.66280953629974304</v>
      </c>
    </row>
    <row r="36" spans="2:44" x14ac:dyDescent="0.25">
      <c r="C36" t="s">
        <v>227</v>
      </c>
      <c r="T36" s="60"/>
      <c r="U36" s="60"/>
      <c r="V36" s="60"/>
      <c r="W36" s="60"/>
      <c r="X36" s="60"/>
      <c r="Y36" s="60"/>
      <c r="Z36" s="60"/>
      <c r="AA36" s="60"/>
      <c r="AB36" s="60"/>
      <c r="AC36" s="60"/>
      <c r="AD36" s="60"/>
      <c r="AE36" s="60"/>
      <c r="AF36" s="60"/>
      <c r="AG36" s="60"/>
      <c r="AH36" s="60"/>
      <c r="AI36" s="60"/>
      <c r="AJ36">
        <f t="shared" si="12"/>
        <v>151</v>
      </c>
      <c r="AK36" s="6">
        <f t="shared" si="2"/>
        <v>0.65664429608740515</v>
      </c>
      <c r="AL36" s="6">
        <f t="shared" si="3"/>
        <v>0.65664429608740515</v>
      </c>
      <c r="AM36" s="6">
        <f t="shared" si="4"/>
        <v>0.65664429608740515</v>
      </c>
      <c r="AN36" s="6">
        <f t="shared" si="5"/>
        <v>0.65664429608740515</v>
      </c>
      <c r="AO36" s="6">
        <f t="shared" si="6"/>
        <v>0.65664429608740515</v>
      </c>
      <c r="AP36" s="6">
        <f t="shared" si="7"/>
        <v>0.43016973354962967</v>
      </c>
      <c r="AQ36" s="6">
        <f t="shared" si="8"/>
        <v>0.28113858026157157</v>
      </c>
      <c r="AR36" s="6">
        <f t="shared" si="9"/>
        <v>0.65353962502480367</v>
      </c>
    </row>
    <row r="37" spans="2:44" x14ac:dyDescent="0.25">
      <c r="C37" t="s">
        <v>228</v>
      </c>
      <c r="T37" s="60"/>
      <c r="U37" s="60"/>
      <c r="V37" s="60"/>
      <c r="W37" s="60"/>
      <c r="X37" s="60"/>
      <c r="Y37" s="60"/>
      <c r="Z37" s="60"/>
      <c r="AA37" s="60"/>
      <c r="AB37" s="60"/>
      <c r="AC37" s="60"/>
      <c r="AD37" s="60"/>
      <c r="AE37" s="60"/>
      <c r="AF37" s="60"/>
      <c r="AG37" s="60"/>
      <c r="AH37" s="60"/>
      <c r="AI37" s="60"/>
      <c r="AJ37">
        <f t="shared" si="12"/>
        <v>156</v>
      </c>
      <c r="AK37" s="6">
        <f t="shared" si="2"/>
        <v>0.64756222478471492</v>
      </c>
      <c r="AL37" s="6">
        <f t="shared" si="3"/>
        <v>0.64756222478471492</v>
      </c>
      <c r="AM37" s="6">
        <f t="shared" si="4"/>
        <v>0.64756222478471492</v>
      </c>
      <c r="AN37" s="6">
        <f t="shared" si="5"/>
        <v>0.64756222478471492</v>
      </c>
      <c r="AO37" s="6">
        <f t="shared" si="6"/>
        <v>0.64756222478471492</v>
      </c>
      <c r="AP37" s="6">
        <f t="shared" si="7"/>
        <v>0.41832008751840699</v>
      </c>
      <c r="AQ37" s="6">
        <f t="shared" si="8"/>
        <v>0.26957075812682357</v>
      </c>
      <c r="AR37" s="6">
        <f t="shared" si="9"/>
        <v>0.6443993607303905</v>
      </c>
    </row>
    <row r="38" spans="2:44" x14ac:dyDescent="0.25">
      <c r="T38" s="60"/>
      <c r="U38" s="60"/>
      <c r="V38" s="60"/>
      <c r="W38" s="60"/>
      <c r="X38" s="60"/>
      <c r="Y38" s="60"/>
      <c r="Z38" s="60"/>
      <c r="AA38" s="60"/>
      <c r="AB38" s="60"/>
      <c r="AC38" s="60"/>
      <c r="AD38" s="60"/>
      <c r="AE38" s="60"/>
      <c r="AF38" s="60"/>
      <c r="AG38" s="60"/>
      <c r="AH38" s="60"/>
      <c r="AI38" s="60"/>
      <c r="AJ38">
        <f t="shared" si="12"/>
        <v>161</v>
      </c>
      <c r="AK38" s="6">
        <f t="shared" si="2"/>
        <v>0.63860576794275881</v>
      </c>
      <c r="AL38" s="6">
        <f t="shared" si="3"/>
        <v>0.63860576794275881</v>
      </c>
      <c r="AM38" s="6">
        <f t="shared" si="4"/>
        <v>0.63860576794275881</v>
      </c>
      <c r="AN38" s="6">
        <f t="shared" si="5"/>
        <v>0.63860576794275881</v>
      </c>
      <c r="AO38" s="6">
        <f t="shared" si="6"/>
        <v>0.63860576794275881</v>
      </c>
      <c r="AP38" s="6">
        <f t="shared" si="7"/>
        <v>0.40679685708575891</v>
      </c>
      <c r="AQ38" s="6">
        <f t="shared" si="8"/>
        <v>0.25847890947396718</v>
      </c>
      <c r="AR38" s="6">
        <f t="shared" si="9"/>
        <v>0.63538693020178549</v>
      </c>
    </row>
    <row r="39" spans="2:44" x14ac:dyDescent="0.25">
      <c r="B39" t="s">
        <v>229</v>
      </c>
      <c r="T39" s="60"/>
      <c r="U39" s="65"/>
      <c r="V39" s="60"/>
      <c r="W39" s="60"/>
      <c r="X39" s="60"/>
      <c r="Y39" s="60"/>
      <c r="Z39" s="60"/>
      <c r="AA39" s="60"/>
      <c r="AB39" s="60"/>
      <c r="AC39" s="60"/>
      <c r="AD39" s="60"/>
      <c r="AE39" s="60"/>
      <c r="AF39" s="60"/>
      <c r="AG39" s="60"/>
      <c r="AH39" s="60"/>
      <c r="AI39" s="60"/>
      <c r="AJ39">
        <f t="shared" si="12"/>
        <v>166</v>
      </c>
      <c r="AK39" s="6">
        <f t="shared" si="2"/>
        <v>0.62977318818333095</v>
      </c>
      <c r="AL39" s="6">
        <f t="shared" ref="AL39:AL70" si="13">EXP(-$AE$6*(AJ39))</f>
        <v>0.62977318818333095</v>
      </c>
      <c r="AM39" s="6">
        <f t="shared" si="4"/>
        <v>0.62977318818333095</v>
      </c>
      <c r="AN39" s="6">
        <f t="shared" si="5"/>
        <v>0.62977318818333095</v>
      </c>
      <c r="AO39" s="6">
        <f t="shared" si="6"/>
        <v>0.62977318818333095</v>
      </c>
      <c r="AP39" s="6">
        <f t="shared" si="7"/>
        <v>0.39559105066301581</v>
      </c>
      <c r="AQ39" s="6">
        <f t="shared" si="8"/>
        <v>0.24784344973878408</v>
      </c>
      <c r="AR39" s="6">
        <f t="shared" si="9"/>
        <v>0.62650054558350055</v>
      </c>
    </row>
    <row r="40" spans="2:44" x14ac:dyDescent="0.25">
      <c r="T40" s="60"/>
      <c r="U40" s="60"/>
      <c r="V40" s="61"/>
      <c r="W40" s="60"/>
      <c r="X40" s="60"/>
      <c r="Y40" s="60"/>
      <c r="Z40" s="60"/>
      <c r="AA40" s="60"/>
      <c r="AB40" s="60"/>
      <c r="AC40" s="60"/>
      <c r="AD40" s="60"/>
      <c r="AE40" s="60"/>
      <c r="AF40" s="60"/>
      <c r="AG40" s="60"/>
      <c r="AH40" s="60"/>
      <c r="AI40" s="60"/>
      <c r="AJ40">
        <f t="shared" si="12"/>
        <v>171</v>
      </c>
      <c r="AK40" s="6">
        <f t="shared" si="2"/>
        <v>0.62106277215796701</v>
      </c>
      <c r="AL40" s="6">
        <f t="shared" si="13"/>
        <v>0.62106277215796701</v>
      </c>
      <c r="AM40" s="6">
        <f t="shared" si="4"/>
        <v>0.62106277215796701</v>
      </c>
      <c r="AN40" s="6">
        <f t="shared" si="5"/>
        <v>0.62106277215796701</v>
      </c>
      <c r="AO40" s="6">
        <f t="shared" si="6"/>
        <v>0.62106277215796701</v>
      </c>
      <c r="AP40" s="6">
        <f t="shared" si="7"/>
        <v>0.38469392434779259</v>
      </c>
      <c r="AQ40" s="6">
        <f t="shared" si="8"/>
        <v>0.23764560019009123</v>
      </c>
      <c r="AR40" s="6">
        <f t="shared" si="9"/>
        <v>0.61773844402460909</v>
      </c>
    </row>
    <row r="41" spans="2:44" x14ac:dyDescent="0.25">
      <c r="T41" s="60"/>
      <c r="U41" s="60"/>
      <c r="V41" s="60"/>
      <c r="W41" s="60"/>
      <c r="X41" s="60"/>
      <c r="Y41" s="60"/>
      <c r="Z41" s="60"/>
      <c r="AA41" s="60"/>
      <c r="AB41" s="60"/>
      <c r="AC41" s="60"/>
      <c r="AD41" s="60"/>
      <c r="AE41" s="60"/>
      <c r="AF41" s="60"/>
      <c r="AG41" s="60"/>
      <c r="AH41" s="60"/>
      <c r="AI41" s="60"/>
      <c r="AJ41">
        <f t="shared" si="12"/>
        <v>176</v>
      </c>
      <c r="AK41" s="6">
        <f t="shared" si="2"/>
        <v>0.61247283021558807</v>
      </c>
      <c r="AL41" s="6">
        <f t="shared" si="13"/>
        <v>0.61247283021558807</v>
      </c>
      <c r="AM41" s="6">
        <f t="shared" si="4"/>
        <v>0.61247283021558807</v>
      </c>
      <c r="AN41" s="6">
        <f t="shared" si="5"/>
        <v>0.61247283021558807</v>
      </c>
      <c r="AO41" s="6">
        <f t="shared" si="6"/>
        <v>0.61247283021558807</v>
      </c>
      <c r="AP41" s="6">
        <f t="shared" si="7"/>
        <v>0.37409697510111256</v>
      </c>
      <c r="AQ41" s="6">
        <f t="shared" si="8"/>
        <v>0.22786735477266509</v>
      </c>
      <c r="AR41" s="6">
        <f t="shared" si="9"/>
        <v>0.60909888732903739</v>
      </c>
    </row>
    <row r="42" spans="2:44" x14ac:dyDescent="0.25">
      <c r="T42" s="60"/>
      <c r="U42" s="60"/>
      <c r="V42" s="60"/>
      <c r="W42" s="60"/>
      <c r="X42" s="60"/>
      <c r="Y42" s="60"/>
      <c r="Z42" s="60"/>
      <c r="AA42" s="60"/>
      <c r="AB42" s="60"/>
      <c r="AC42" s="60"/>
      <c r="AD42" s="60"/>
      <c r="AE42" s="60"/>
      <c r="AF42" s="60"/>
      <c r="AG42" s="60"/>
      <c r="AH42" s="60"/>
      <c r="AI42" s="60"/>
      <c r="AJ42">
        <f t="shared" si="12"/>
        <v>181</v>
      </c>
      <c r="AK42" s="6">
        <f t="shared" si="2"/>
        <v>0.60400169607474108</v>
      </c>
      <c r="AL42" s="6">
        <f t="shared" si="13"/>
        <v>0.60400169607474108</v>
      </c>
      <c r="AM42" s="6">
        <f t="shared" si="4"/>
        <v>0.60400169607474108</v>
      </c>
      <c r="AN42" s="6">
        <f t="shared" si="5"/>
        <v>0.60400169607474108</v>
      </c>
      <c r="AO42" s="6">
        <f t="shared" si="6"/>
        <v>0.60400169607474108</v>
      </c>
      <c r="AP42" s="6">
        <f t="shared" si="7"/>
        <v>0.36379193411247712</v>
      </c>
      <c r="AQ42" s="6">
        <f t="shared" si="8"/>
        <v>0.21849144831445771</v>
      </c>
      <c r="AR42" s="6">
        <f t="shared" si="9"/>
        <v>0.60058016161074745</v>
      </c>
    </row>
    <row r="43" spans="2:44" x14ac:dyDescent="0.25">
      <c r="T43" s="60"/>
      <c r="U43" s="60"/>
      <c r="V43" s="60"/>
      <c r="W43" s="60"/>
      <c r="X43" s="60"/>
      <c r="Y43" s="60"/>
      <c r="Z43" s="60"/>
      <c r="AA43" s="60"/>
      <c r="AB43" s="60"/>
      <c r="AC43" s="60"/>
      <c r="AD43" s="60"/>
      <c r="AE43" s="60"/>
      <c r="AF43" s="60"/>
      <c r="AG43" s="60"/>
      <c r="AH43" s="60"/>
      <c r="AI43" s="60"/>
      <c r="AJ43">
        <f t="shared" si="12"/>
        <v>186</v>
      </c>
      <c r="AK43" s="6">
        <f t="shared" si="2"/>
        <v>0.5956477265003729</v>
      </c>
      <c r="AL43" s="6">
        <f t="shared" si="13"/>
        <v>0.5956477265003729</v>
      </c>
      <c r="AM43" s="6">
        <f t="shared" si="4"/>
        <v>0.5956477265003729</v>
      </c>
      <c r="AN43" s="6">
        <f t="shared" si="5"/>
        <v>0.5956477265003729</v>
      </c>
      <c r="AO43" s="6">
        <f t="shared" si="6"/>
        <v>0.5956477265003729</v>
      </c>
      <c r="AP43" s="6">
        <f t="shared" si="7"/>
        <v>0.35377076034770455</v>
      </c>
      <c r="AQ43" s="6">
        <f t="shared" si="8"/>
        <v>0.20950132604196997</v>
      </c>
      <c r="AR43" s="6">
        <f t="shared" si="9"/>
        <v>0.59218057695374171</v>
      </c>
    </row>
    <row r="44" spans="2:44" x14ac:dyDescent="0.25">
      <c r="T44" s="60"/>
      <c r="U44" s="60"/>
      <c r="V44" s="60"/>
      <c r="W44" s="60"/>
      <c r="X44" s="60"/>
      <c r="Y44" s="60"/>
      <c r="Z44" s="60"/>
      <c r="AA44" s="60"/>
      <c r="AB44" s="60"/>
      <c r="AC44" s="60"/>
      <c r="AD44" s="60"/>
      <c r="AE44" s="60"/>
      <c r="AF44" s="60"/>
      <c r="AG44" s="60"/>
      <c r="AH44" s="60"/>
      <c r="AI44" s="60"/>
      <c r="AJ44">
        <f t="shared" si="12"/>
        <v>191</v>
      </c>
      <c r="AK44" s="6">
        <f t="shared" si="2"/>
        <v>0.58740930098507438</v>
      </c>
      <c r="AL44" s="6">
        <f t="shared" si="13"/>
        <v>0.58740930098507438</v>
      </c>
      <c r="AM44" s="6">
        <f t="shared" si="4"/>
        <v>0.58740930098507438</v>
      </c>
      <c r="AN44" s="6">
        <f t="shared" si="5"/>
        <v>0.58740930098507438</v>
      </c>
      <c r="AO44" s="6">
        <f t="shared" si="6"/>
        <v>0.58740930098507438</v>
      </c>
      <c r="AP44" s="6">
        <f t="shared" si="7"/>
        <v>0.34402563427450272</v>
      </c>
      <c r="AQ44" s="6">
        <f t="shared" si="8"/>
        <v>0.20088111434995476</v>
      </c>
      <c r="AR44" s="6">
        <f t="shared" si="9"/>
        <v>0.58389846707682369</v>
      </c>
    </row>
    <row r="45" spans="2:44" x14ac:dyDescent="0.25">
      <c r="T45" s="60"/>
      <c r="U45" s="60"/>
      <c r="V45" s="60"/>
      <c r="W45" s="60"/>
      <c r="X45" s="60"/>
      <c r="Y45" s="60"/>
      <c r="Z45" s="60"/>
      <c r="AA45" s="60"/>
      <c r="AB45" s="60"/>
      <c r="AC45" s="60"/>
      <c r="AD45" s="60"/>
      <c r="AE45" s="60"/>
      <c r="AF45" s="60"/>
      <c r="AG45" s="60"/>
      <c r="AH45" s="60"/>
      <c r="AI45" s="60"/>
      <c r="AJ45">
        <f t="shared" si="12"/>
        <v>196</v>
      </c>
      <c r="AK45" s="6">
        <f t="shared" si="2"/>
        <v>0.57928482143473381</v>
      </c>
      <c r="AL45" s="6">
        <f t="shared" si="13"/>
        <v>0.57928482143473381</v>
      </c>
      <c r="AM45" s="6">
        <f t="shared" si="4"/>
        <v>0.57928482143473381</v>
      </c>
      <c r="AN45" s="6">
        <f t="shared" si="5"/>
        <v>0.57928482143473381</v>
      </c>
      <c r="AO45" s="6">
        <f t="shared" si="6"/>
        <v>0.57928482143473381</v>
      </c>
      <c r="AP45" s="6">
        <f t="shared" si="7"/>
        <v>0.33454895176087951</v>
      </c>
      <c r="AQ45" s="6">
        <f t="shared" si="8"/>
        <v>0.19261559277384013</v>
      </c>
      <c r="AR45" s="6">
        <f t="shared" si="9"/>
        <v>0.57573218900304624</v>
      </c>
    </row>
    <row r="46" spans="2:44" x14ac:dyDescent="0.25">
      <c r="T46" s="60"/>
      <c r="U46" s="60"/>
      <c r="V46" s="60"/>
      <c r="W46" s="60"/>
      <c r="X46" s="60"/>
      <c r="Y46" s="60"/>
      <c r="Z46" s="60"/>
      <c r="AA46" s="60"/>
      <c r="AB46" s="60"/>
      <c r="AC46" s="60"/>
      <c r="AD46" s="60"/>
      <c r="AE46" s="60"/>
      <c r="AF46" s="60"/>
      <c r="AG46" s="60"/>
      <c r="AH46" s="60"/>
      <c r="AI46" s="60"/>
      <c r="AJ46">
        <f t="shared" si="12"/>
        <v>201</v>
      </c>
      <c r="AK46" s="6">
        <f t="shared" si="2"/>
        <v>0.57127271185853779</v>
      </c>
      <c r="AL46" s="6">
        <f t="shared" si="13"/>
        <v>0.57127271185853779</v>
      </c>
      <c r="AM46" s="6">
        <f t="shared" si="4"/>
        <v>0.57127271185853779</v>
      </c>
      <c r="AN46" s="6">
        <f t="shared" si="5"/>
        <v>0.57127271185853779</v>
      </c>
      <c r="AO46" s="6">
        <f t="shared" si="6"/>
        <v>0.57127271185853779</v>
      </c>
      <c r="AP46" s="6">
        <f t="shared" si="7"/>
        <v>0.32533331814163124</v>
      </c>
      <c r="AQ46" s="6">
        <f t="shared" si="8"/>
        <v>0.18469016711538452</v>
      </c>
      <c r="AR46" s="6">
        <f t="shared" si="9"/>
        <v>0.56768012273378343</v>
      </c>
    </row>
    <row r="47" spans="2:44" x14ac:dyDescent="0.25">
      <c r="T47" s="60"/>
      <c r="U47" s="60"/>
      <c r="V47" s="60"/>
      <c r="W47" s="60"/>
      <c r="X47" s="60"/>
      <c r="Y47" s="60"/>
      <c r="Z47" s="60"/>
      <c r="AA47" s="60"/>
      <c r="AB47" s="60"/>
      <c r="AC47" s="60"/>
      <c r="AD47" s="60"/>
      <c r="AE47" s="60"/>
      <c r="AF47" s="60"/>
      <c r="AG47" s="60"/>
      <c r="AH47" s="60"/>
      <c r="AI47" s="60"/>
      <c r="AJ47">
        <f t="shared" si="12"/>
        <v>206</v>
      </c>
      <c r="AK47" s="6">
        <f t="shared" si="2"/>
        <v>0.56337141806325919</v>
      </c>
      <c r="AL47" s="6">
        <f t="shared" si="13"/>
        <v>0.56337141806325919</v>
      </c>
      <c r="AM47" s="6">
        <f t="shared" si="4"/>
        <v>0.56337141806325919</v>
      </c>
      <c r="AN47" s="6">
        <f t="shared" si="5"/>
        <v>0.56337141806325919</v>
      </c>
      <c r="AO47" s="6">
        <f t="shared" si="6"/>
        <v>0.56337141806325919</v>
      </c>
      <c r="AP47" s="6">
        <f t="shared" si="7"/>
        <v>0.31637154244827759</v>
      </c>
      <c r="AQ47" s="6">
        <f t="shared" si="8"/>
        <v>0.17709084367411268</v>
      </c>
      <c r="AR47" s="6">
        <f t="shared" si="9"/>
        <v>0.55974067092736135</v>
      </c>
    </row>
    <row r="48" spans="2:44" x14ac:dyDescent="0.25">
      <c r="T48" s="60"/>
      <c r="U48" s="60"/>
      <c r="V48" s="60"/>
      <c r="W48" s="60"/>
      <c r="X48" s="60"/>
      <c r="Y48" s="60"/>
      <c r="Z48" s="60"/>
      <c r="AA48" s="60"/>
      <c r="AB48" s="60"/>
      <c r="AC48" s="60"/>
      <c r="AD48" s="60"/>
      <c r="AE48" s="60"/>
      <c r="AF48" s="60"/>
      <c r="AG48" s="60"/>
      <c r="AH48" s="60"/>
      <c r="AI48" s="60"/>
      <c r="AJ48">
        <f t="shared" si="12"/>
        <v>211</v>
      </c>
      <c r="AK48" s="6">
        <f t="shared" si="2"/>
        <v>0.5555794073517748</v>
      </c>
      <c r="AL48" s="6">
        <f t="shared" si="13"/>
        <v>0.5555794073517748</v>
      </c>
      <c r="AM48" s="6">
        <f t="shared" si="4"/>
        <v>0.5555794073517748</v>
      </c>
      <c r="AN48" s="6">
        <f t="shared" si="5"/>
        <v>0.5555794073517748</v>
      </c>
      <c r="AO48" s="6">
        <f t="shared" si="6"/>
        <v>0.5555794073517748</v>
      </c>
      <c r="AP48" s="6">
        <f t="shared" si="7"/>
        <v>0.30765663179794123</v>
      </c>
      <c r="AQ48" s="6">
        <f t="shared" si="8"/>
        <v>0.16980420453903336</v>
      </c>
      <c r="AR48" s="6">
        <f t="shared" si="9"/>
        <v>0.55191225858218174</v>
      </c>
    </row>
    <row r="49" spans="20:44" x14ac:dyDescent="0.25">
      <c r="T49" s="60"/>
      <c r="U49" s="60"/>
      <c r="V49" s="60"/>
      <c r="W49" s="60"/>
      <c r="X49" s="60"/>
      <c r="Y49" s="60"/>
      <c r="Z49" s="60"/>
      <c r="AA49" s="60"/>
      <c r="AB49" s="60"/>
      <c r="AC49" s="60"/>
      <c r="AD49" s="60"/>
      <c r="AE49" s="60"/>
      <c r="AF49" s="60"/>
      <c r="AG49" s="60"/>
      <c r="AH49" s="60"/>
      <c r="AI49" s="60"/>
      <c r="AJ49">
        <f t="shared" si="12"/>
        <v>216</v>
      </c>
      <c r="AK49" s="6">
        <f t="shared" si="2"/>
        <v>0.54789516822575102</v>
      </c>
      <c r="AL49" s="6">
        <f t="shared" si="13"/>
        <v>0.54789516822575102</v>
      </c>
      <c r="AM49" s="6">
        <f t="shared" si="4"/>
        <v>0.54789516822575102</v>
      </c>
      <c r="AN49" s="6">
        <f t="shared" si="5"/>
        <v>0.54789516822575102</v>
      </c>
      <c r="AO49" s="6">
        <f t="shared" si="6"/>
        <v>0.54789516822575102</v>
      </c>
      <c r="AP49" s="6">
        <f t="shared" si="7"/>
        <v>0.29918178593679412</v>
      </c>
      <c r="AQ49" s="6">
        <f t="shared" si="8"/>
        <v>0.16281738389701275</v>
      </c>
      <c r="AR49" s="6">
        <f t="shared" si="9"/>
        <v>0.54419333272427961</v>
      </c>
    </row>
    <row r="50" spans="20:44" x14ac:dyDescent="0.25">
      <c r="T50" s="60"/>
      <c r="U50" s="60"/>
      <c r="V50" s="60"/>
      <c r="W50" s="60"/>
      <c r="X50" s="60"/>
      <c r="Y50" s="60"/>
      <c r="Z50" s="60"/>
      <c r="AA50" s="60"/>
      <c r="AB50" s="60"/>
      <c r="AC50" s="60"/>
      <c r="AD50" s="60"/>
      <c r="AE50" s="60"/>
      <c r="AF50" s="60"/>
      <c r="AG50" s="60"/>
      <c r="AH50" s="60"/>
      <c r="AI50" s="60"/>
      <c r="AJ50">
        <f t="shared" si="12"/>
        <v>221</v>
      </c>
      <c r="AK50" s="6">
        <f t="shared" si="2"/>
        <v>0.54031721009244316</v>
      </c>
      <c r="AL50" s="6">
        <f t="shared" si="13"/>
        <v>0.54031721009244316</v>
      </c>
      <c r="AM50" s="6">
        <f t="shared" si="4"/>
        <v>0.54031721009244316</v>
      </c>
      <c r="AN50" s="6">
        <f t="shared" si="5"/>
        <v>0.54031721009244316</v>
      </c>
      <c r="AO50" s="6">
        <f t="shared" si="6"/>
        <v>0.54031721009244316</v>
      </c>
      <c r="AP50" s="6">
        <f t="shared" si="7"/>
        <v>0.29094039193381266</v>
      </c>
      <c r="AQ50" s="6">
        <f t="shared" si="8"/>
        <v>0.15611804531597109</v>
      </c>
      <c r="AR50" s="6">
        <f t="shared" si="9"/>
        <v>0.53658236209924881</v>
      </c>
    </row>
    <row r="51" spans="20:44" x14ac:dyDescent="0.25">
      <c r="T51" s="60"/>
      <c r="U51" s="60"/>
      <c r="V51" s="60"/>
      <c r="W51" s="60"/>
      <c r="X51" s="60"/>
      <c r="Y51" s="60"/>
      <c r="Z51" s="60"/>
      <c r="AA51" s="60"/>
      <c r="AB51" s="60"/>
      <c r="AC51" s="60"/>
      <c r="AD51" s="60"/>
      <c r="AE51" s="60"/>
      <c r="AF51" s="60"/>
      <c r="AG51" s="60"/>
      <c r="AH51" s="60"/>
      <c r="AI51" s="60"/>
      <c r="AJ51">
        <f t="shared" si="12"/>
        <v>226</v>
      </c>
      <c r="AK51" s="6">
        <f t="shared" si="2"/>
        <v>0.53284406297554965</v>
      </c>
      <c r="AL51" s="6">
        <f t="shared" si="13"/>
        <v>0.53284406297554965</v>
      </c>
      <c r="AM51" s="6">
        <f t="shared" si="4"/>
        <v>0.53284406297554965</v>
      </c>
      <c r="AN51" s="6">
        <f t="shared" si="5"/>
        <v>0.53284406297554965</v>
      </c>
      <c r="AO51" s="6">
        <f t="shared" si="6"/>
        <v>0.53284406297554965</v>
      </c>
      <c r="AP51" s="6">
        <f t="shared" si="7"/>
        <v>0.28292601902070036</v>
      </c>
      <c r="AQ51" s="6">
        <f t="shared" si="8"/>
        <v>0.14969435996279248</v>
      </c>
      <c r="AR51" s="6">
        <f t="shared" si="9"/>
        <v>0.52907783686847731</v>
      </c>
    </row>
    <row r="52" spans="20:44" x14ac:dyDescent="0.25">
      <c r="T52" s="60"/>
      <c r="U52" s="60"/>
      <c r="V52" s="60"/>
      <c r="W52" s="60"/>
      <c r="X52" s="60"/>
      <c r="Y52" s="60"/>
      <c r="Z52" s="60"/>
      <c r="AA52" s="60"/>
      <c r="AB52" s="60"/>
      <c r="AC52" s="60"/>
      <c r="AD52" s="60"/>
      <c r="AE52" s="60"/>
      <c r="AF52" s="60"/>
      <c r="AG52" s="60"/>
      <c r="AH52" s="60"/>
      <c r="AI52" s="60"/>
      <c r="AJ52">
        <f t="shared" si="12"/>
        <v>231</v>
      </c>
      <c r="AK52" s="6">
        <f t="shared" si="2"/>
        <v>0.52547427723006446</v>
      </c>
      <c r="AL52" s="6">
        <f t="shared" si="13"/>
        <v>0.52547427723006446</v>
      </c>
      <c r="AM52" s="6">
        <f t="shared" si="4"/>
        <v>0.52547427723006446</v>
      </c>
      <c r="AN52" s="6">
        <f t="shared" si="5"/>
        <v>0.52547427723006446</v>
      </c>
      <c r="AO52" s="6">
        <f t="shared" si="6"/>
        <v>0.52547427723006446</v>
      </c>
      <c r="AP52" s="6">
        <f t="shared" si="7"/>
        <v>0.27513241357395296</v>
      </c>
      <c r="AQ52" s="6">
        <f t="shared" si="8"/>
        <v>0.14353498571748824</v>
      </c>
      <c r="AR52" s="6">
        <f t="shared" si="9"/>
        <v>0.52167826830963016</v>
      </c>
    </row>
    <row r="53" spans="20:44" x14ac:dyDescent="0.25">
      <c r="T53" s="60"/>
      <c r="U53" s="60"/>
      <c r="V53" s="60"/>
      <c r="W53" s="60"/>
      <c r="X53" s="60"/>
      <c r="Y53" s="60"/>
      <c r="Z53" s="60"/>
      <c r="AA53" s="60"/>
      <c r="AB53" s="60"/>
      <c r="AC53" s="60"/>
      <c r="AD53" s="60"/>
      <c r="AE53" s="60"/>
      <c r="AF53" s="60"/>
      <c r="AG53" s="60"/>
      <c r="AH53" s="60"/>
      <c r="AI53" s="60"/>
      <c r="AJ53">
        <f t="shared" si="12"/>
        <v>236</v>
      </c>
      <c r="AK53" s="6">
        <f t="shared" si="2"/>
        <v>0.51820642326107513</v>
      </c>
      <c r="AL53" s="6">
        <f t="shared" si="13"/>
        <v>0.51820642326107513</v>
      </c>
      <c r="AM53" s="6">
        <f t="shared" si="4"/>
        <v>0.51820642326107513</v>
      </c>
      <c r="AN53" s="6">
        <f t="shared" si="5"/>
        <v>0.51820642326107513</v>
      </c>
      <c r="AO53" s="6">
        <f t="shared" si="6"/>
        <v>0.51820642326107513</v>
      </c>
      <c r="AP53" s="6">
        <f t="shared" si="7"/>
        <v>0.26755349423514935</v>
      </c>
      <c r="AQ53" s="6">
        <f t="shared" si="8"/>
        <v>0.13762904714673543</v>
      </c>
      <c r="AR53" s="6">
        <f t="shared" si="9"/>
        <v>0.51438218852132234</v>
      </c>
    </row>
    <row r="54" spans="20:44" x14ac:dyDescent="0.25">
      <c r="T54" s="60"/>
      <c r="U54" s="60"/>
      <c r="V54" s="60"/>
      <c r="W54" s="60"/>
      <c r="X54" s="60"/>
      <c r="Y54" s="60"/>
      <c r="Z54" s="60"/>
      <c r="AA54" s="60"/>
      <c r="AB54" s="60"/>
      <c r="AC54" s="60"/>
      <c r="AD54" s="60"/>
      <c r="AE54" s="60"/>
      <c r="AF54" s="60"/>
      <c r="AG54" s="60"/>
      <c r="AH54" s="60"/>
      <c r="AI54" s="60"/>
      <c r="AJ54">
        <f t="shared" si="12"/>
        <v>241</v>
      </c>
      <c r="AK54" s="6">
        <f t="shared" si="2"/>
        <v>0.51103909124644864</v>
      </c>
      <c r="AL54" s="6">
        <f t="shared" si="13"/>
        <v>0.51103909124644864</v>
      </c>
      <c r="AM54" s="6">
        <f t="shared" si="4"/>
        <v>0.51103909124644864</v>
      </c>
      <c r="AN54" s="6">
        <f t="shared" si="5"/>
        <v>0.51103909124644864</v>
      </c>
      <c r="AO54" s="6">
        <f t="shared" si="6"/>
        <v>0.51103909124644864</v>
      </c>
      <c r="AP54" s="6">
        <f t="shared" si="7"/>
        <v>0.26018334716566116</v>
      </c>
      <c r="AQ54" s="6">
        <f t="shared" si="8"/>
        <v>0.13196611630143124</v>
      </c>
      <c r="AR54" s="6">
        <f t="shared" si="9"/>
        <v>0.50718815013192076</v>
      </c>
    </row>
    <row r="55" spans="20:44" x14ac:dyDescent="0.25">
      <c r="T55" s="60"/>
      <c r="U55" s="60"/>
      <c r="V55" s="60"/>
      <c r="W55" s="60"/>
      <c r="X55" s="60"/>
      <c r="Y55" s="60"/>
      <c r="Z55" s="60"/>
      <c r="AA55" s="60"/>
      <c r="AB55" s="60"/>
      <c r="AC55" s="60"/>
      <c r="AD55" s="60"/>
      <c r="AE55" s="60"/>
      <c r="AF55" s="60"/>
      <c r="AG55" s="60"/>
      <c r="AH55" s="60"/>
      <c r="AI55" s="60"/>
      <c r="AJ55">
        <f t="shared" si="12"/>
        <v>246</v>
      </c>
      <c r="AK55" s="6">
        <f t="shared" si="2"/>
        <v>0.50397089086335345</v>
      </c>
      <c r="AL55" s="6">
        <f t="shared" si="13"/>
        <v>0.50397089086335345</v>
      </c>
      <c r="AM55" s="6">
        <f t="shared" si="4"/>
        <v>0.50397089086335345</v>
      </c>
      <c r="AN55" s="6">
        <f t="shared" si="5"/>
        <v>0.50397089086335345</v>
      </c>
      <c r="AO55" s="6">
        <f t="shared" si="6"/>
        <v>0.50397089086335345</v>
      </c>
      <c r="AP55" s="6">
        <f t="shared" si="7"/>
        <v>0.2530162214320788</v>
      </c>
      <c r="AQ55" s="6">
        <f t="shared" si="8"/>
        <v>0.12653619430435736</v>
      </c>
      <c r="AR55" s="6">
        <f t="shared" si="9"/>
        <v>0.50009472601242033</v>
      </c>
    </row>
    <row r="56" spans="20:44" x14ac:dyDescent="0.25">
      <c r="T56" s="60"/>
      <c r="U56" s="60"/>
      <c r="V56" s="60"/>
      <c r="W56" s="60"/>
      <c r="X56" s="60"/>
      <c r="Y56" s="60"/>
      <c r="Z56" s="60"/>
      <c r="AA56" s="60"/>
      <c r="AB56" s="60"/>
      <c r="AC56" s="60"/>
      <c r="AD56" s="60"/>
      <c r="AE56" s="60"/>
      <c r="AF56" s="60"/>
      <c r="AG56" s="60"/>
      <c r="AH56" s="60"/>
      <c r="AI56" s="60"/>
      <c r="AJ56">
        <f t="shared" si="12"/>
        <v>251</v>
      </c>
      <c r="AK56" s="6">
        <f t="shared" si="2"/>
        <v>0.4970004510185641</v>
      </c>
      <c r="AL56" s="6">
        <f t="shared" si="13"/>
        <v>0.4970004510185641</v>
      </c>
      <c r="AM56" s="6">
        <f t="shared" si="4"/>
        <v>0.4970004510185641</v>
      </c>
      <c r="AN56" s="6">
        <f t="shared" si="5"/>
        <v>0.4970004510185641</v>
      </c>
      <c r="AO56" s="6">
        <f t="shared" si="6"/>
        <v>0.4970004510185641</v>
      </c>
      <c r="AP56" s="6">
        <f t="shared" si="7"/>
        <v>0.24604652451875172</v>
      </c>
      <c r="AQ56" s="6">
        <f t="shared" si="8"/>
        <v>0.12132969369544465</v>
      </c>
      <c r="AR56" s="6">
        <f t="shared" si="9"/>
        <v>0.49310050899333419</v>
      </c>
    </row>
    <row r="57" spans="20:44" x14ac:dyDescent="0.25">
      <c r="T57" s="60"/>
      <c r="U57" s="60"/>
      <c r="V57" s="60"/>
      <c r="W57" s="60"/>
      <c r="X57" s="60"/>
      <c r="Y57" s="60"/>
      <c r="Z57" s="60"/>
      <c r="AA57" s="60"/>
      <c r="AB57" s="60"/>
      <c r="AC57" s="60"/>
      <c r="AD57" s="60"/>
      <c r="AE57" s="60"/>
      <c r="AF57" s="60"/>
      <c r="AG57" s="60"/>
      <c r="AH57" s="60"/>
      <c r="AI57" s="60"/>
      <c r="AJ57">
        <f t="shared" si="12"/>
        <v>256</v>
      </c>
      <c r="AK57" s="6">
        <f t="shared" si="2"/>
        <v>0.49012641958249575</v>
      </c>
      <c r="AL57" s="6">
        <f t="shared" si="13"/>
        <v>0.49012641958249575</v>
      </c>
      <c r="AM57" s="6">
        <f t="shared" si="4"/>
        <v>0.49012641958249575</v>
      </c>
      <c r="AN57" s="6">
        <f t="shared" si="5"/>
        <v>0.49012641958249575</v>
      </c>
      <c r="AO57" s="6">
        <f t="shared" si="6"/>
        <v>0.49012641958249575</v>
      </c>
      <c r="AP57" s="6">
        <f t="shared" si="7"/>
        <v>0.23926881796394273</v>
      </c>
      <c r="AQ57" s="6">
        <f t="shared" si="8"/>
        <v>0.11633742150346545</v>
      </c>
      <c r="AR57" s="6">
        <f t="shared" si="9"/>
        <v>0.48620411158554483</v>
      </c>
    </row>
    <row r="58" spans="20:44" x14ac:dyDescent="0.25">
      <c r="T58" s="60"/>
      <c r="U58" s="60"/>
      <c r="V58" s="60"/>
      <c r="W58" s="60"/>
      <c r="X58" s="60"/>
      <c r="Y58" s="60"/>
      <c r="Z58" s="60"/>
      <c r="AA58" s="60"/>
      <c r="AB58" s="60"/>
      <c r="AC58" s="60"/>
      <c r="AD58" s="60"/>
      <c r="AE58" s="60"/>
      <c r="AF58" s="60"/>
      <c r="AG58" s="60"/>
      <c r="AH58" s="60"/>
      <c r="AI58" s="60"/>
      <c r="AJ58">
        <f t="shared" si="12"/>
        <v>261</v>
      </c>
      <c r="AK58" s="6">
        <f t="shared" si="2"/>
        <v>0.48334746312691729</v>
      </c>
      <c r="AL58" s="6">
        <f t="shared" si="13"/>
        <v>0.48334746312691729</v>
      </c>
      <c r="AM58" s="6">
        <f t="shared" si="4"/>
        <v>0.48334746312691729</v>
      </c>
      <c r="AN58" s="6">
        <f t="shared" si="5"/>
        <v>0.48334746312691729</v>
      </c>
      <c r="AO58" s="6">
        <f t="shared" si="6"/>
        <v>0.48334746312691729</v>
      </c>
      <c r="AP58" s="6">
        <f t="shared" si="7"/>
        <v>0.23267781311619076</v>
      </c>
      <c r="AQ58" s="6">
        <f t="shared" si="8"/>
        <v>0.11155056301426348</v>
      </c>
      <c r="AR58" s="6">
        <f t="shared" si="9"/>
        <v>0.47940416570505817</v>
      </c>
    </row>
    <row r="59" spans="20:44" x14ac:dyDescent="0.25">
      <c r="T59" s="60"/>
      <c r="U59" s="60"/>
      <c r="V59" s="60"/>
      <c r="W59" s="60"/>
      <c r="X59" s="60"/>
      <c r="Y59" s="60"/>
      <c r="Z59" s="60"/>
      <c r="AA59" s="60"/>
      <c r="AB59" s="60"/>
      <c r="AC59" s="60"/>
      <c r="AD59" s="60"/>
      <c r="AE59" s="60"/>
      <c r="AF59" s="60"/>
      <c r="AG59" s="60"/>
      <c r="AH59" s="60"/>
      <c r="AI59" s="60"/>
      <c r="AJ59">
        <f t="shared" si="12"/>
        <v>266</v>
      </c>
      <c r="AK59" s="6">
        <f t="shared" si="2"/>
        <v>0.47666226666629236</v>
      </c>
      <c r="AL59" s="6">
        <f t="shared" si="13"/>
        <v>0.47666226666629236</v>
      </c>
      <c r="AM59" s="6">
        <f t="shared" si="4"/>
        <v>0.47666226666629236</v>
      </c>
      <c r="AN59" s="6">
        <f t="shared" si="5"/>
        <v>0.47666226666629236</v>
      </c>
      <c r="AO59" s="6">
        <f t="shared" si="6"/>
        <v>0.47666226666629236</v>
      </c>
      <c r="AP59" s="6">
        <f t="shared" si="7"/>
        <v>0.22626836700757058</v>
      </c>
      <c r="AQ59" s="6">
        <f t="shared" si="8"/>
        <v>0.10696066620686187</v>
      </c>
      <c r="AR59" s="6">
        <f t="shared" si="9"/>
        <v>0.47269932240160806</v>
      </c>
    </row>
    <row r="60" spans="20:44" x14ac:dyDescent="0.25">
      <c r="AJ60">
        <f t="shared" si="12"/>
        <v>271</v>
      </c>
      <c r="AK60" s="6">
        <f t="shared" si="2"/>
        <v>0.47006953340269758</v>
      </c>
      <c r="AL60" s="6">
        <f t="shared" si="13"/>
        <v>0.47006953340269758</v>
      </c>
      <c r="AM60" s="6">
        <f t="shared" si="4"/>
        <v>0.47006953340269758</v>
      </c>
      <c r="AN60" s="6">
        <f t="shared" si="5"/>
        <v>0.47006953340269758</v>
      </c>
      <c r="AO60" s="6">
        <f t="shared" si="6"/>
        <v>0.47006953340269758</v>
      </c>
      <c r="AP60" s="6">
        <f t="shared" si="7"/>
        <v>0.22003547834062961</v>
      </c>
      <c r="AQ60" s="6">
        <f t="shared" si="8"/>
        <v>0.10255962682996832</v>
      </c>
      <c r="AR60" s="6">
        <f t="shared" si="9"/>
        <v>0.46608825159105588</v>
      </c>
    </row>
    <row r="61" spans="20:44" x14ac:dyDescent="0.25">
      <c r="AJ61">
        <f t="shared" si="12"/>
        <v>276</v>
      </c>
      <c r="AK61" s="6">
        <f t="shared" si="2"/>
        <v>0.46356798447426928</v>
      </c>
      <c r="AL61" s="6">
        <f t="shared" si="13"/>
        <v>0.46356798447426928</v>
      </c>
      <c r="AM61" s="6">
        <f t="shared" si="4"/>
        <v>0.46356798447426928</v>
      </c>
      <c r="AN61" s="6">
        <f t="shared" si="5"/>
        <v>0.46356798447426928</v>
      </c>
      <c r="AO61" s="6">
        <f t="shared" si="6"/>
        <v>0.46356798447426928</v>
      </c>
      <c r="AP61" s="6">
        <f t="shared" si="7"/>
        <v>0.21397428358587031</v>
      </c>
      <c r="AQ61" s="6">
        <f t="shared" si="8"/>
        <v>9.8339674092526932E-2</v>
      </c>
      <c r="AR61" s="6">
        <f t="shared" si="9"/>
        <v>0.45956964179153303</v>
      </c>
    </row>
    <row r="62" spans="20:44" x14ac:dyDescent="0.25">
      <c r="AJ62">
        <f t="shared" si="12"/>
        <v>281</v>
      </c>
      <c r="AK62" s="6">
        <f t="shared" si="2"/>
        <v>0.45715635870712901</v>
      </c>
      <c r="AL62" s="6">
        <f t="shared" si="13"/>
        <v>0.45715635870712901</v>
      </c>
      <c r="AM62" s="6">
        <f t="shared" si="4"/>
        <v>0.45715635870712901</v>
      </c>
      <c r="AN62" s="6">
        <f t="shared" si="5"/>
        <v>0.45715635870712901</v>
      </c>
      <c r="AO62" s="6">
        <f t="shared" si="6"/>
        <v>0.45715635870712901</v>
      </c>
      <c r="AP62" s="6">
        <f t="shared" si="7"/>
        <v>0.20808005318673303</v>
      </c>
      <c r="AQ62" s="6">
        <f t="shared" si="8"/>
        <v>9.4293356943051951E-2</v>
      </c>
      <c r="AR62" s="6">
        <f t="shared" si="9"/>
        <v>0.45314219986327359</v>
      </c>
    </row>
    <row r="63" spans="20:44" x14ac:dyDescent="0.25">
      <c r="AJ63">
        <f t="shared" si="12"/>
        <v>286</v>
      </c>
      <c r="AK63" s="6">
        <f t="shared" si="2"/>
        <v>0.45083341237074037</v>
      </c>
      <c r="AL63" s="6">
        <f t="shared" si="13"/>
        <v>0.45083341237074037</v>
      </c>
      <c r="AM63" s="6">
        <f t="shared" si="4"/>
        <v>0.45083341237074037</v>
      </c>
      <c r="AN63" s="6">
        <f t="shared" si="5"/>
        <v>0.45083341237074037</v>
      </c>
      <c r="AO63" s="6">
        <f t="shared" si="6"/>
        <v>0.45083341237074037</v>
      </c>
      <c r="AP63" s="6">
        <f t="shared" si="7"/>
        <v>0.2023481878691181</v>
      </c>
      <c r="AQ63" s="6">
        <f t="shared" si="8"/>
        <v>9.0413530913516352E-2</v>
      </c>
      <c r="AR63" s="6">
        <f t="shared" si="9"/>
        <v>0.44680465075208559</v>
      </c>
    </row>
    <row r="64" spans="20:44" x14ac:dyDescent="0.25">
      <c r="AJ64">
        <f t="shared" si="12"/>
        <v>291</v>
      </c>
      <c r="AK64" s="6">
        <f t="shared" si="2"/>
        <v>0.44459791893664952</v>
      </c>
      <c r="AL64" s="6">
        <f t="shared" si="13"/>
        <v>0.44459791893664952</v>
      </c>
      <c r="AM64" s="6">
        <f t="shared" si="4"/>
        <v>0.44459791893664952</v>
      </c>
      <c r="AN64" s="6">
        <f t="shared" si="5"/>
        <v>0.44459791893664952</v>
      </c>
      <c r="AO64" s="6">
        <f t="shared" si="6"/>
        <v>0.44459791893664952</v>
      </c>
      <c r="AP64" s="6">
        <f t="shared" si="7"/>
        <v>0.19677421505256759</v>
      </c>
      <c r="AQ64" s="6">
        <f t="shared" si="8"/>
        <v>8.6693345504566074E-2</v>
      </c>
      <c r="AR64" s="6">
        <f t="shared" si="9"/>
        <v>0.44055573723641012</v>
      </c>
    </row>
    <row r="65" spans="36:44" x14ac:dyDescent="0.25">
      <c r="AJ65">
        <f t="shared" si="12"/>
        <v>296</v>
      </c>
      <c r="AK65" s="6">
        <f t="shared" si="2"/>
        <v>0.43844866884056272</v>
      </c>
      <c r="AL65" s="6">
        <f t="shared" si="13"/>
        <v>0.43844866884056272</v>
      </c>
      <c r="AM65" s="6">
        <f t="shared" si="4"/>
        <v>0.43844866884056272</v>
      </c>
      <c r="AN65" s="6">
        <f t="shared" si="5"/>
        <v>0.43844866884056272</v>
      </c>
      <c r="AO65" s="6">
        <f t="shared" si="6"/>
        <v>0.43844866884056272</v>
      </c>
      <c r="AP65" s="6">
        <f t="shared" si="7"/>
        <v>0.19135378536030612</v>
      </c>
      <c r="AQ65" s="6">
        <f t="shared" si="8"/>
        <v>8.3126232089786686E-2</v>
      </c>
      <c r="AR65" s="6">
        <f t="shared" si="9"/>
        <v>0.4343942196779178</v>
      </c>
    </row>
    <row r="66" spans="36:44" x14ac:dyDescent="0.25">
      <c r="AJ66">
        <f t="shared" si="12"/>
        <v>301</v>
      </c>
      <c r="AK66" s="6">
        <f t="shared" si="2"/>
        <v>0.43238446924771412</v>
      </c>
      <c r="AL66" s="6">
        <f t="shared" si="13"/>
        <v>0.43238446924771412</v>
      </c>
      <c r="AM66" s="6">
        <f t="shared" si="4"/>
        <v>0.43238446924771412</v>
      </c>
      <c r="AN66" s="6">
        <f t="shared" si="5"/>
        <v>0.43238446924771412</v>
      </c>
      <c r="AO66" s="6">
        <f t="shared" si="6"/>
        <v>0.43238446924771412</v>
      </c>
      <c r="AP66" s="6">
        <f t="shared" si="7"/>
        <v>0.1860826692254175</v>
      </c>
      <c r="AQ66" s="6">
        <f t="shared" si="8"/>
        <v>7.9705892317665172E-2</v>
      </c>
      <c r="AR66" s="6">
        <f t="shared" si="9"/>
        <v>0.4283188757755938</v>
      </c>
    </row>
    <row r="67" spans="36:44" x14ac:dyDescent="0.25">
      <c r="AJ67">
        <f t="shared" si="12"/>
        <v>306</v>
      </c>
      <c r="AK67" s="6">
        <f t="shared" si="2"/>
        <v>0.42640414382147923</v>
      </c>
      <c r="AL67" s="6">
        <f t="shared" si="13"/>
        <v>0.42640414382147923</v>
      </c>
      <c r="AM67" s="6">
        <f t="shared" si="4"/>
        <v>0.42640414382147923</v>
      </c>
      <c r="AN67" s="6">
        <f t="shared" si="5"/>
        <v>0.42640414382147923</v>
      </c>
      <c r="AO67" s="6">
        <f t="shared" si="6"/>
        <v>0.42640414382147923</v>
      </c>
      <c r="AP67" s="6">
        <f t="shared" si="7"/>
        <v>0.18095675359050942</v>
      </c>
      <c r="AQ67" s="6">
        <f t="shared" si="8"/>
        <v>7.6426286990768116E-2</v>
      </c>
      <c r="AR67" s="6">
        <f t="shared" si="9"/>
        <v>0.42232850032326186</v>
      </c>
    </row>
    <row r="68" spans="36:44" x14ac:dyDescent="0.25">
      <c r="AJ68">
        <f t="shared" si="12"/>
        <v>311</v>
      </c>
      <c r="AK68" s="6">
        <f t="shared" si="2"/>
        <v>0.42050653249518855</v>
      </c>
      <c r="AL68" s="6">
        <f t="shared" si="13"/>
        <v>0.42050653249518855</v>
      </c>
      <c r="AM68" s="6">
        <f t="shared" si="4"/>
        <v>0.42050653249518855</v>
      </c>
      <c r="AN68" s="6">
        <f t="shared" si="5"/>
        <v>0.42050653249518855</v>
      </c>
      <c r="AO68" s="6">
        <f t="shared" si="6"/>
        <v>0.42050653249518855</v>
      </c>
      <c r="AP68" s="6">
        <f t="shared" si="7"/>
        <v>0.1759720386982904</v>
      </c>
      <c r="AQ68" s="6">
        <f t="shared" si="8"/>
        <v>7.3281625402501355E-2</v>
      </c>
      <c r="AR68" s="6">
        <f t="shared" si="9"/>
        <v>0.41642190497049919</v>
      </c>
    </row>
    <row r="69" spans="36:44" x14ac:dyDescent="0.25">
      <c r="AJ69">
        <f t="shared" si="12"/>
        <v>316</v>
      </c>
      <c r="AK69" s="6">
        <f t="shared" si="2"/>
        <v>0.41469049124709711</v>
      </c>
      <c r="AL69" s="6">
        <f t="shared" si="13"/>
        <v>0.41469049124709711</v>
      </c>
      <c r="AM69" s="6">
        <f t="shared" si="4"/>
        <v>0.41469049124709711</v>
      </c>
      <c r="AN69" s="6">
        <f t="shared" si="5"/>
        <v>0.41469049124709711</v>
      </c>
      <c r="AO69" s="6">
        <f t="shared" si="6"/>
        <v>0.41469049124709711</v>
      </c>
      <c r="AP69" s="6">
        <f t="shared" si="7"/>
        <v>0.17112463497055513</v>
      </c>
      <c r="AQ69" s="6">
        <f t="shared" si="8"/>
        <v>7.0266355112622761E-2</v>
      </c>
      <c r="AR69" s="6">
        <f t="shared" si="9"/>
        <v>0.41059791798689604</v>
      </c>
    </row>
    <row r="70" spans="36:44" x14ac:dyDescent="0.25">
      <c r="AJ70">
        <f t="shared" si="12"/>
        <v>321</v>
      </c>
      <c r="AK70" s="6">
        <f t="shared" si="2"/>
        <v>0.40895489187846656</v>
      </c>
      <c r="AL70" s="6">
        <f t="shared" si="13"/>
        <v>0.40895489187846656</v>
      </c>
      <c r="AM70" s="6">
        <f t="shared" si="4"/>
        <v>0.40895489187846656</v>
      </c>
      <c r="AN70" s="6">
        <f t="shared" si="5"/>
        <v>0.40895489187846656</v>
      </c>
      <c r="AO70" s="6">
        <f t="shared" si="6"/>
        <v>0.40895489187846656</v>
      </c>
      <c r="AP70" s="6">
        <f t="shared" si="7"/>
        <v>0.16641075997314245</v>
      </c>
      <c r="AQ70" s="6">
        <f t="shared" si="8"/>
        <v>6.7375152143455019E-2</v>
      </c>
      <c r="AR70" s="6">
        <f t="shared" si="9"/>
        <v>0.40485538402961146</v>
      </c>
    </row>
    <row r="71" spans="36:44" x14ac:dyDescent="0.25">
      <c r="AJ71">
        <f t="shared" si="12"/>
        <v>326</v>
      </c>
      <c r="AK71" s="6">
        <f t="shared" ref="AK71:AK79" si="14">EXP(-$AE$6*(AJ71))</f>
        <v>0.40329862179471665</v>
      </c>
      <c r="AL71" s="6">
        <f t="shared" ref="AL71:AL79" si="15">EXP(-$AE$6*(AJ71))</f>
        <v>0.40329862179471665</v>
      </c>
      <c r="AM71" s="6">
        <f t="shared" ref="AM71:AM79" si="16">EXP(-$AE$10*(AJ71))</f>
        <v>0.40329862179471665</v>
      </c>
      <c r="AN71" s="6">
        <f t="shared" ref="AN71:AN79" si="17">EXP(-$AE$12*(AJ71))</f>
        <v>0.40329862179471665</v>
      </c>
      <c r="AO71" s="6">
        <f t="shared" ref="AO71:AO79" si="18">EXP(-$AE$14*(AJ71))</f>
        <v>0.40329862179471665</v>
      </c>
      <c r="AP71" s="6">
        <f t="shared" ref="AP71:AP79" si="19">EXP(-$AE$17*(AJ71))</f>
        <v>0.16182673546449816</v>
      </c>
      <c r="AQ71" s="6">
        <f t="shared" ref="AQ71:AQ79" si="20">EXP(-$AE$21*(AJ71))</f>
        <v>6.4602911579488526E-2</v>
      </c>
      <c r="AR71" s="6">
        <f t="shared" ref="AR71:AR79" si="21">EXP(-$AE$23*(AJ71))</f>
        <v>0.3991931639141803</v>
      </c>
    </row>
    <row r="72" spans="36:44" x14ac:dyDescent="0.25">
      <c r="AJ72">
        <f t="shared" ref="AJ72:AJ79" si="22">AJ71+5</f>
        <v>331</v>
      </c>
      <c r="AK72" s="6">
        <f t="shared" si="14"/>
        <v>0.39772058378960357</v>
      </c>
      <c r="AL72" s="6">
        <f t="shared" si="15"/>
        <v>0.39772058378960357</v>
      </c>
      <c r="AM72" s="6">
        <f t="shared" si="16"/>
        <v>0.39772058378960357</v>
      </c>
      <c r="AN72" s="6">
        <f t="shared" si="17"/>
        <v>0.39772058378960357</v>
      </c>
      <c r="AO72" s="6">
        <f t="shared" si="18"/>
        <v>0.39772058378960357</v>
      </c>
      <c r="AP72" s="6">
        <f t="shared" si="19"/>
        <v>0.15736898452553913</v>
      </c>
      <c r="AQ72" s="6">
        <f t="shared" si="20"/>
        <v>6.1944738553776177E-2</v>
      </c>
      <c r="AR72" s="6">
        <f t="shared" si="21"/>
        <v>0.39361013438852588</v>
      </c>
    </row>
    <row r="73" spans="36:44" x14ac:dyDescent="0.25">
      <c r="AJ73">
        <f t="shared" si="22"/>
        <v>336</v>
      </c>
      <c r="AK73" s="6">
        <f t="shared" si="14"/>
        <v>0.39221969583238303</v>
      </c>
      <c r="AL73" s="6">
        <f t="shared" si="15"/>
        <v>0.39221969583238303</v>
      </c>
      <c r="AM73" s="6">
        <f t="shared" si="16"/>
        <v>0.39221969583238303</v>
      </c>
      <c r="AN73" s="6">
        <f t="shared" si="17"/>
        <v>0.39221969583238303</v>
      </c>
      <c r="AO73" s="6">
        <f t="shared" si="18"/>
        <v>0.39221969583238303</v>
      </c>
      <c r="AP73" s="6">
        <f t="shared" si="19"/>
        <v>0.15303402876857986</v>
      </c>
      <c r="AQ73" s="6">
        <f t="shared" si="20"/>
        <v>5.9395939605204784E-2</v>
      </c>
      <c r="AR73" s="6">
        <f t="shared" si="21"/>
        <v>0.38810518791013288</v>
      </c>
    </row>
    <row r="74" spans="36:44" x14ac:dyDescent="0.25">
      <c r="AJ74">
        <f t="shared" si="22"/>
        <v>341</v>
      </c>
      <c r="AK74" s="6">
        <f t="shared" si="14"/>
        <v>0.38679489085791779</v>
      </c>
      <c r="AL74" s="6">
        <f t="shared" si="15"/>
        <v>0.38679489085791779</v>
      </c>
      <c r="AM74" s="6">
        <f t="shared" si="16"/>
        <v>0.38679489085791779</v>
      </c>
      <c r="AN74" s="6">
        <f t="shared" si="17"/>
        <v>0.38679489085791779</v>
      </c>
      <c r="AO74" s="6">
        <f t="shared" si="18"/>
        <v>0.38679489085791779</v>
      </c>
      <c r="AP74" s="6">
        <f t="shared" si="19"/>
        <v>0.14881848562314282</v>
      </c>
      <c r="AQ74" s="6">
        <f t="shared" si="20"/>
        <v>5.6952014391383234E-2</v>
      </c>
      <c r="AR74" s="6">
        <f t="shared" si="21"/>
        <v>0.38267723242633672</v>
      </c>
    </row>
    <row r="75" spans="36:44" x14ac:dyDescent="0.25">
      <c r="AJ75">
        <f t="shared" si="22"/>
        <v>346</v>
      </c>
      <c r="AK75" s="6">
        <f t="shared" si="14"/>
        <v>0.38144511655968755</v>
      </c>
      <c r="AL75" s="6">
        <f t="shared" si="15"/>
        <v>0.38144511655968755</v>
      </c>
      <c r="AM75" s="6">
        <f t="shared" si="16"/>
        <v>0.38144511655968755</v>
      </c>
      <c r="AN75" s="6">
        <f t="shared" si="17"/>
        <v>0.38144511655968755</v>
      </c>
      <c r="AO75" s="6">
        <f t="shared" si="18"/>
        <v>0.38144511655968755</v>
      </c>
      <c r="AP75" s="6">
        <f t="shared" si="19"/>
        <v>0.14471906569653517</v>
      </c>
      <c r="AQ75" s="6">
        <f t="shared" si="20"/>
        <v>5.4608647742515011E-2</v>
      </c>
      <c r="AR75" s="6">
        <f t="shared" si="21"/>
        <v>0.37732519115768598</v>
      </c>
    </row>
    <row r="76" spans="36:44" x14ac:dyDescent="0.25">
      <c r="AJ76">
        <f t="shared" si="22"/>
        <v>351</v>
      </c>
      <c r="AK76" s="6">
        <f t="shared" si="14"/>
        <v>0.37616933518566198</v>
      </c>
      <c r="AL76" s="6">
        <f t="shared" si="15"/>
        <v>0.37616933518566198</v>
      </c>
      <c r="AM76" s="6">
        <f t="shared" si="16"/>
        <v>0.37616933518566198</v>
      </c>
      <c r="AN76" s="6">
        <f t="shared" si="17"/>
        <v>0.37616933518566198</v>
      </c>
      <c r="AO76" s="6">
        <f t="shared" si="18"/>
        <v>0.37616933518566198</v>
      </c>
      <c r="AP76" s="6">
        <f t="shared" si="19"/>
        <v>0.14073257020713237</v>
      </c>
      <c r="AQ76" s="6">
        <f t="shared" si="20"/>
        <v>5.2361702042224491E-2</v>
      </c>
      <c r="AR76" s="6">
        <f t="shared" si="21"/>
        <v>0.37204800238433455</v>
      </c>
    </row>
    <row r="77" spans="36:44" x14ac:dyDescent="0.25">
      <c r="AJ77">
        <f t="shared" si="22"/>
        <v>356</v>
      </c>
      <c r="AK77" s="6">
        <f t="shared" si="14"/>
        <v>0.37096652333699709</v>
      </c>
      <c r="AL77" s="6">
        <f t="shared" si="15"/>
        <v>0.37096652333699709</v>
      </c>
      <c r="AM77" s="6">
        <f t="shared" si="16"/>
        <v>0.37096652333699709</v>
      </c>
      <c r="AN77" s="6">
        <f t="shared" si="17"/>
        <v>0.37096652333699709</v>
      </c>
      <c r="AO77" s="6">
        <f t="shared" si="18"/>
        <v>0.37096652333699709</v>
      </c>
      <c r="AP77" s="6">
        <f t="shared" si="19"/>
        <v>0.13685588848836538</v>
      </c>
      <c r="AQ77" s="6">
        <f t="shared" si="20"/>
        <v>5.0207209921884495E-2</v>
      </c>
      <c r="AR77" s="6">
        <f t="shared" si="21"/>
        <v>0.36684461923542117</v>
      </c>
    </row>
    <row r="78" spans="36:44" x14ac:dyDescent="0.25">
      <c r="AJ78">
        <f t="shared" si="22"/>
        <v>361</v>
      </c>
      <c r="AK78" s="6">
        <f t="shared" si="14"/>
        <v>0.36583567176951587</v>
      </c>
      <c r="AL78" s="6">
        <f t="shared" si="15"/>
        <v>0.36583567176951587</v>
      </c>
      <c r="AM78" s="6">
        <f t="shared" si="16"/>
        <v>0.36583567176951587</v>
      </c>
      <c r="AN78" s="6">
        <f t="shared" si="17"/>
        <v>0.36583567176951587</v>
      </c>
      <c r="AO78" s="6">
        <f t="shared" si="18"/>
        <v>0.36583567176951587</v>
      </c>
      <c r="AP78" s="6">
        <f t="shared" si="19"/>
        <v>0.13308599556146444</v>
      </c>
      <c r="AQ78" s="6">
        <f t="shared" si="20"/>
        <v>4.814136725554554E-2</v>
      </c>
      <c r="AR78" s="6">
        <f t="shared" si="21"/>
        <v>0.36171400948139465</v>
      </c>
    </row>
    <row r="79" spans="36:44" x14ac:dyDescent="0.25">
      <c r="AJ79">
        <f t="shared" si="22"/>
        <v>366</v>
      </c>
      <c r="AK79" s="6">
        <f t="shared" si="14"/>
        <v>0.36077578519793424</v>
      </c>
      <c r="AL79" s="6">
        <f t="shared" si="15"/>
        <v>0.36077578519793424</v>
      </c>
      <c r="AM79" s="6">
        <f t="shared" si="16"/>
        <v>0.36077578519793424</v>
      </c>
      <c r="AN79" s="6">
        <f t="shared" si="17"/>
        <v>0.36077578519793424</v>
      </c>
      <c r="AO79" s="6">
        <f t="shared" si="18"/>
        <v>0.36077578519793424</v>
      </c>
      <c r="AP79" s="6">
        <f t="shared" si="19"/>
        <v>0.12941994977506494</v>
      </c>
      <c r="AQ79" s="6">
        <f t="shared" si="20"/>
        <v>4.6160526443097816E-2</v>
      </c>
      <c r="AR79" s="6">
        <f t="shared" si="21"/>
        <v>0.35665515532924386</v>
      </c>
    </row>
    <row r="80" spans="36:44" x14ac:dyDescent="0.25">
      <c r="AK80" s="11"/>
      <c r="AL80" s="11"/>
      <c r="AM80" s="11"/>
      <c r="AN80" s="11"/>
      <c r="AO80" s="11"/>
      <c r="AP80" s="11"/>
      <c r="AQ80" s="11"/>
      <c r="AR80" s="11"/>
    </row>
    <row r="81" spans="37:44" x14ac:dyDescent="0.25">
      <c r="AK81" s="11"/>
      <c r="AL81" s="11"/>
      <c r="AM81" s="11"/>
      <c r="AN81" s="11"/>
      <c r="AO81" s="11"/>
      <c r="AP81" s="11"/>
      <c r="AQ81" s="11"/>
      <c r="AR81" s="11"/>
    </row>
    <row r="82" spans="37:44" x14ac:dyDescent="0.25">
      <c r="AK82" s="11"/>
      <c r="AL82" s="11"/>
      <c r="AM82" s="11"/>
      <c r="AN82" s="11"/>
      <c r="AO82" s="11"/>
      <c r="AP82" s="11"/>
      <c r="AQ82" s="11"/>
      <c r="AR82" s="11"/>
    </row>
    <row r="83" spans="37:44" x14ac:dyDescent="0.25">
      <c r="AK83" s="11"/>
      <c r="AL83" s="11"/>
      <c r="AM83" s="11"/>
      <c r="AN83" s="11"/>
      <c r="AO83" s="11"/>
      <c r="AP83" s="11"/>
      <c r="AQ83" s="11"/>
      <c r="AR83" s="11"/>
    </row>
    <row r="84" spans="37:44" x14ac:dyDescent="0.25">
      <c r="AK84" s="11"/>
      <c r="AL84" s="11"/>
      <c r="AM84" s="11"/>
      <c r="AN84" s="11"/>
      <c r="AO84" s="11"/>
      <c r="AP84" s="11"/>
      <c r="AQ84" s="11"/>
      <c r="AR84" s="11"/>
    </row>
    <row r="85" spans="37:44" x14ac:dyDescent="0.25">
      <c r="AK85" s="11"/>
      <c r="AL85" s="11"/>
      <c r="AM85" s="11"/>
      <c r="AN85" s="11"/>
      <c r="AO85" s="11"/>
      <c r="AP85" s="11"/>
      <c r="AQ85" s="11"/>
      <c r="AR85" s="11"/>
    </row>
    <row r="86" spans="37:44" x14ac:dyDescent="0.25">
      <c r="AK86" s="11"/>
      <c r="AL86" s="11"/>
      <c r="AM86" s="11"/>
      <c r="AN86" s="11"/>
      <c r="AO86" s="11"/>
      <c r="AP86" s="11"/>
      <c r="AQ86" s="11"/>
      <c r="AR86" s="11"/>
    </row>
    <row r="87" spans="37:44" x14ac:dyDescent="0.25">
      <c r="AK87" s="11"/>
      <c r="AL87" s="11"/>
      <c r="AM87" s="11"/>
      <c r="AN87" s="11"/>
      <c r="AO87" s="11"/>
      <c r="AP87" s="11"/>
      <c r="AQ87" s="11"/>
      <c r="AR87" s="11"/>
    </row>
    <row r="88" spans="37:44" x14ac:dyDescent="0.25">
      <c r="AK88" s="11"/>
      <c r="AL88" s="11"/>
      <c r="AM88" s="11"/>
      <c r="AN88" s="11"/>
      <c r="AO88" s="11"/>
      <c r="AP88" s="11"/>
      <c r="AQ88" s="11"/>
      <c r="AR88" s="11"/>
    </row>
  </sheetData>
  <sheetProtection sheet="1" objects="1" scenarios="1"/>
  <mergeCells count="4">
    <mergeCell ref="AP3:AR3"/>
    <mergeCell ref="B2:R3"/>
    <mergeCell ref="T2:AI3"/>
    <mergeCell ref="AM3:AO3"/>
  </mergeCells>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7030A0"/>
  </sheetPr>
  <dimension ref="B2:AG43"/>
  <sheetViews>
    <sheetView topLeftCell="P1" zoomScale="85" zoomScaleNormal="85" workbookViewId="0">
      <selection activeCell="AJ12" sqref="AJ12"/>
    </sheetView>
  </sheetViews>
  <sheetFormatPr defaultRowHeight="15" x14ac:dyDescent="0.25"/>
  <cols>
    <col min="1" max="1" width="3" customWidth="1"/>
    <col min="2" max="2" width="10.42578125" bestFit="1" customWidth="1"/>
    <col min="3" max="3" width="12" bestFit="1" customWidth="1"/>
    <col min="4" max="4" width="10.42578125" bestFit="1" customWidth="1"/>
    <col min="5" max="5" width="20" bestFit="1" customWidth="1"/>
    <col min="7" max="7" width="10.85546875" bestFit="1" customWidth="1"/>
    <col min="8" max="8" width="14.85546875" bestFit="1" customWidth="1"/>
    <col min="9" max="9" width="12" bestFit="1" customWidth="1"/>
    <col min="10" max="10" width="11.28515625" bestFit="1" customWidth="1"/>
    <col min="11" max="11" width="11.28515625" customWidth="1"/>
    <col min="12" max="12" width="12.28515625" bestFit="1" customWidth="1"/>
    <col min="13" max="13" width="13.7109375" bestFit="1" customWidth="1"/>
    <col min="14" max="15" width="12" bestFit="1" customWidth="1"/>
    <col min="16" max="16" width="12" customWidth="1"/>
    <col min="17" max="17" width="14" bestFit="1" customWidth="1"/>
    <col min="19" max="20" width="10.42578125" bestFit="1" customWidth="1"/>
    <col min="21" max="21" width="20" bestFit="1" customWidth="1"/>
    <col min="23" max="23" width="10.85546875" bestFit="1" customWidth="1"/>
    <col min="24" max="24" width="14.85546875" bestFit="1" customWidth="1"/>
    <col min="25" max="25" width="12" bestFit="1" customWidth="1"/>
    <col min="26" max="26" width="11.42578125" bestFit="1" customWidth="1"/>
    <col min="27" max="28" width="11.42578125" customWidth="1"/>
    <col min="29" max="29" width="13.7109375" bestFit="1" customWidth="1"/>
    <col min="30" max="32" width="12" bestFit="1" customWidth="1"/>
    <col min="33" max="33" width="14" bestFit="1" customWidth="1"/>
  </cols>
  <sheetData>
    <row r="2" spans="2:33" ht="15" customHeight="1" x14ac:dyDescent="0.25">
      <c r="B2" s="124" t="s">
        <v>195</v>
      </c>
      <c r="C2" s="125"/>
      <c r="D2" s="125"/>
      <c r="E2" s="125"/>
      <c r="F2" s="125"/>
      <c r="G2" s="125"/>
      <c r="H2" s="125"/>
      <c r="I2" s="125"/>
      <c r="J2" s="125"/>
      <c r="K2" s="125"/>
      <c r="L2" s="125"/>
      <c r="M2" s="125"/>
      <c r="N2" s="125"/>
      <c r="O2" s="125"/>
      <c r="P2" s="125"/>
      <c r="Q2" s="126"/>
      <c r="S2" s="123" t="s">
        <v>196</v>
      </c>
      <c r="T2" s="123"/>
      <c r="U2" s="123"/>
      <c r="V2" s="123"/>
      <c r="W2" s="123"/>
      <c r="X2" s="123"/>
      <c r="Y2" s="123"/>
      <c r="Z2" s="123"/>
      <c r="AA2" s="123"/>
      <c r="AB2" s="123"/>
      <c r="AC2" s="123"/>
      <c r="AD2" s="123"/>
      <c r="AE2" s="123"/>
      <c r="AF2" s="123"/>
      <c r="AG2" s="123"/>
    </row>
    <row r="3" spans="2:33" x14ac:dyDescent="0.25">
      <c r="B3" s="127"/>
      <c r="C3" s="128"/>
      <c r="D3" s="128"/>
      <c r="E3" s="128"/>
      <c r="F3" s="128"/>
      <c r="G3" s="128"/>
      <c r="H3" s="128"/>
      <c r="I3" s="128"/>
      <c r="J3" s="128"/>
      <c r="K3" s="128"/>
      <c r="L3" s="128"/>
      <c r="M3" s="128"/>
      <c r="N3" s="128"/>
      <c r="O3" s="128"/>
      <c r="P3" s="128"/>
      <c r="Q3" s="129"/>
      <c r="S3" s="123"/>
      <c r="T3" s="123"/>
      <c r="U3" s="123"/>
      <c r="V3" s="123"/>
      <c r="W3" s="123"/>
      <c r="X3" s="123"/>
      <c r="Y3" s="123"/>
      <c r="Z3" s="123"/>
      <c r="AA3" s="123"/>
      <c r="AB3" s="123"/>
      <c r="AC3" s="123"/>
      <c r="AD3" s="123"/>
      <c r="AE3" s="123"/>
      <c r="AF3" s="123"/>
      <c r="AG3" s="123"/>
    </row>
    <row r="4" spans="2:33" x14ac:dyDescent="0.25">
      <c r="B4" s="7" t="s">
        <v>165</v>
      </c>
      <c r="C4" s="7" t="s">
        <v>168</v>
      </c>
      <c r="D4" s="7" t="s">
        <v>5</v>
      </c>
      <c r="E4" s="7" t="s">
        <v>2</v>
      </c>
      <c r="F4" s="7" t="s">
        <v>185</v>
      </c>
      <c r="G4" s="7" t="s">
        <v>191</v>
      </c>
      <c r="H4" s="7" t="s">
        <v>192</v>
      </c>
      <c r="I4" s="7" t="s">
        <v>194</v>
      </c>
      <c r="J4" s="7" t="s">
        <v>194</v>
      </c>
      <c r="K4" s="7" t="s">
        <v>223</v>
      </c>
      <c r="L4" s="7" t="s">
        <v>238</v>
      </c>
      <c r="M4" s="7" t="s">
        <v>236</v>
      </c>
      <c r="N4" s="41" t="s">
        <v>208</v>
      </c>
      <c r="O4" s="41" t="s">
        <v>230</v>
      </c>
      <c r="P4" s="41" t="s">
        <v>231</v>
      </c>
      <c r="Q4" s="41" t="s">
        <v>211</v>
      </c>
      <c r="S4" s="7" t="s">
        <v>165</v>
      </c>
      <c r="T4" s="7" t="s">
        <v>5</v>
      </c>
      <c r="U4" s="7" t="s">
        <v>197</v>
      </c>
      <c r="V4" s="7" t="s">
        <v>185</v>
      </c>
      <c r="W4" s="7" t="s">
        <v>191</v>
      </c>
      <c r="X4" s="7" t="s">
        <v>192</v>
      </c>
      <c r="Y4" s="7" t="s">
        <v>198</v>
      </c>
      <c r="Z4" s="7" t="s">
        <v>198</v>
      </c>
      <c r="AA4" s="7" t="s">
        <v>224</v>
      </c>
      <c r="AB4" s="7" t="s">
        <v>238</v>
      </c>
      <c r="AC4" s="7" t="s">
        <v>236</v>
      </c>
      <c r="AD4" s="41" t="s">
        <v>208</v>
      </c>
      <c r="AE4" s="41" t="s">
        <v>230</v>
      </c>
      <c r="AF4" s="41" t="s">
        <v>231</v>
      </c>
      <c r="AG4" s="41" t="s">
        <v>211</v>
      </c>
    </row>
    <row r="5" spans="2:33" x14ac:dyDescent="0.25">
      <c r="B5" s="8">
        <v>42004</v>
      </c>
      <c r="C5" s="8"/>
      <c r="D5" s="9"/>
      <c r="E5" s="9"/>
      <c r="F5" s="9" t="s">
        <v>187</v>
      </c>
      <c r="G5" s="9"/>
      <c r="H5" s="9" t="s">
        <v>187</v>
      </c>
      <c r="I5" s="9" t="s">
        <v>187</v>
      </c>
      <c r="J5" s="9" t="s">
        <v>199</v>
      </c>
      <c r="K5" s="9" t="s">
        <v>187</v>
      </c>
      <c r="L5" s="9" t="s">
        <v>237</v>
      </c>
      <c r="M5" s="9" t="s">
        <v>237</v>
      </c>
      <c r="N5" s="42" t="s">
        <v>233</v>
      </c>
      <c r="O5" s="42" t="s">
        <v>233</v>
      </c>
      <c r="P5" s="42" t="s">
        <v>233</v>
      </c>
      <c r="Q5" s="42" t="s">
        <v>233</v>
      </c>
      <c r="S5" s="8">
        <v>42004</v>
      </c>
      <c r="T5" s="9"/>
      <c r="U5" s="9"/>
      <c r="V5" s="9" t="s">
        <v>187</v>
      </c>
      <c r="W5" s="9"/>
      <c r="X5" s="9" t="s">
        <v>187</v>
      </c>
      <c r="Y5" s="9" t="s">
        <v>187</v>
      </c>
      <c r="Z5" s="9" t="s">
        <v>199</v>
      </c>
      <c r="AA5" s="9" t="s">
        <v>187</v>
      </c>
      <c r="AB5" s="9" t="s">
        <v>237</v>
      </c>
      <c r="AC5" s="9" t="s">
        <v>237</v>
      </c>
      <c r="AD5" s="42" t="s">
        <v>233</v>
      </c>
      <c r="AE5" s="42" t="s">
        <v>233</v>
      </c>
      <c r="AF5" s="42" t="s">
        <v>233</v>
      </c>
      <c r="AG5" s="42" t="s">
        <v>233</v>
      </c>
    </row>
    <row r="6" spans="2:33" x14ac:dyDescent="0.25">
      <c r="B6" s="6">
        <f>DAYS360(B5,D6)</f>
        <v>28</v>
      </c>
      <c r="C6" s="10">
        <v>1</v>
      </c>
      <c r="D6" s="5">
        <v>42032</v>
      </c>
      <c r="E6" s="6" t="s">
        <v>406</v>
      </c>
      <c r="F6" s="30">
        <v>15</v>
      </c>
      <c r="G6" s="31"/>
      <c r="H6" s="31"/>
      <c r="I6" s="31"/>
      <c r="J6" s="31"/>
      <c r="K6" s="31"/>
      <c r="L6" s="6">
        <f>F6-$F$26</f>
        <v>-887.25</v>
      </c>
      <c r="M6" s="33">
        <f>SQRT((L6*L6)/COUNT($B$6:$B$24))</f>
        <v>203.54910987665593</v>
      </c>
      <c r="N6" s="31"/>
      <c r="O6" s="31"/>
      <c r="P6" s="31"/>
      <c r="Q6" s="31"/>
      <c r="S6" s="6">
        <f t="shared" ref="S6" si="0">DAYS360($B$5,T6)</f>
        <v>124</v>
      </c>
      <c r="T6" s="5">
        <v>42128</v>
      </c>
      <c r="U6" s="6" t="s">
        <v>383</v>
      </c>
      <c r="V6" s="30">
        <v>360</v>
      </c>
      <c r="W6" s="6">
        <f>COUNT(V6)</f>
        <v>1</v>
      </c>
      <c r="X6" s="6">
        <f>SUM(V6:V6)</f>
        <v>360</v>
      </c>
      <c r="Y6" s="6">
        <f>(518400-X6)/W6</f>
        <v>518040</v>
      </c>
      <c r="Z6" s="6">
        <f>INT(Y6/60/24)</f>
        <v>359</v>
      </c>
      <c r="AA6" s="6">
        <f>X6/W6</f>
        <v>360</v>
      </c>
      <c r="AB6" s="6">
        <f>X6-V7</f>
        <v>0</v>
      </c>
      <c r="AC6" s="33">
        <f>SQRT((AB6*AB6)/COUNT(S6:S6))</f>
        <v>0</v>
      </c>
      <c r="AD6" s="6">
        <f>W6/365</f>
        <v>2.7397260273972603E-3</v>
      </c>
      <c r="AE6" s="6">
        <f>AD6*EXP(-AD6*365)</f>
        <v>1.0078888799217598E-3</v>
      </c>
      <c r="AF6" s="6">
        <f>1-EXP(-AD6*365)</f>
        <v>0.63212055882855767</v>
      </c>
      <c r="AG6" s="6">
        <f>EXP(-AD6*365)</f>
        <v>0.36787944117144233</v>
      </c>
    </row>
    <row r="7" spans="2:33" x14ac:dyDescent="0.25">
      <c r="B7" s="6">
        <f>DAYS360(B5,D7)</f>
        <v>159</v>
      </c>
      <c r="C7" s="10">
        <v>1</v>
      </c>
      <c r="D7" s="5">
        <v>42164</v>
      </c>
      <c r="E7" s="6" t="s">
        <v>406</v>
      </c>
      <c r="F7" s="30">
        <v>150</v>
      </c>
      <c r="G7" s="31"/>
      <c r="H7" s="31"/>
      <c r="I7" s="31"/>
      <c r="J7" s="31"/>
      <c r="K7" s="31"/>
      <c r="L7" s="6">
        <f>F7-$F$26</f>
        <v>-752.25</v>
      </c>
      <c r="M7" s="33">
        <f t="shared" ref="M7:M25" si="1">SQRT((L7*L7)/COUNT($B$6:$B$24))</f>
        <v>172.57798580413009</v>
      </c>
      <c r="N7" s="31"/>
      <c r="O7" s="31"/>
      <c r="P7" s="31"/>
      <c r="Q7" s="31"/>
      <c r="S7" s="31"/>
      <c r="T7" s="31"/>
      <c r="U7" s="43" t="s">
        <v>235</v>
      </c>
      <c r="V7" s="6">
        <f>AVERAGE(V6)</f>
        <v>360</v>
      </c>
      <c r="W7" s="31"/>
      <c r="X7" s="31"/>
      <c r="Y7" s="31"/>
      <c r="Z7" s="31"/>
      <c r="AA7" s="31"/>
      <c r="AB7" s="31"/>
      <c r="AC7" s="31"/>
      <c r="AD7" s="31"/>
      <c r="AE7" s="31"/>
      <c r="AF7" s="31"/>
      <c r="AG7" s="31"/>
    </row>
    <row r="8" spans="2:33" x14ac:dyDescent="0.25">
      <c r="B8" s="6">
        <f>DAYS360(B5,D8)</f>
        <v>240</v>
      </c>
      <c r="C8" s="10">
        <v>1</v>
      </c>
      <c r="D8" s="5">
        <v>42247</v>
      </c>
      <c r="E8" s="6" t="s">
        <v>406</v>
      </c>
      <c r="F8" s="30">
        <v>120</v>
      </c>
      <c r="G8" s="6">
        <f>COUNT(F6:F8)</f>
        <v>3</v>
      </c>
      <c r="H8" s="6">
        <f>SUM(F6:F8)</f>
        <v>285</v>
      </c>
      <c r="I8" s="6">
        <f>(518400-H8)/G8</f>
        <v>172705</v>
      </c>
      <c r="J8" s="6">
        <f>INT(I8/60/24)</f>
        <v>119</v>
      </c>
      <c r="K8" s="6">
        <f>H8/G8</f>
        <v>95</v>
      </c>
      <c r="L8" s="6">
        <f>F8-$F$26</f>
        <v>-782.25</v>
      </c>
      <c r="M8" s="33">
        <f t="shared" si="1"/>
        <v>179.46045782024694</v>
      </c>
      <c r="N8" s="6">
        <f>G8/365</f>
        <v>8.21917808219178E-3</v>
      </c>
      <c r="O8" s="6">
        <f>N8*EXP(-N8*365)</f>
        <v>4.0920878110573119E-4</v>
      </c>
      <c r="P8" s="6">
        <f>1-EXP(-N8*365)</f>
        <v>0.95021293163213605</v>
      </c>
      <c r="Q8" s="6">
        <f>EXP(-N8*365)</f>
        <v>4.9787068367863965E-2</v>
      </c>
      <c r="S8" s="6">
        <f>DAYS360($B$5,T8)</f>
        <v>40</v>
      </c>
      <c r="T8" s="5">
        <v>42045</v>
      </c>
      <c r="U8" s="6" t="s">
        <v>375</v>
      </c>
      <c r="V8" s="30">
        <v>45</v>
      </c>
      <c r="W8" s="31"/>
      <c r="X8" s="31"/>
      <c r="Y8" s="31"/>
      <c r="Z8" s="31"/>
      <c r="AA8" s="31"/>
      <c r="AB8" s="31"/>
      <c r="AC8" s="31"/>
      <c r="AD8" s="31"/>
      <c r="AE8" s="31"/>
      <c r="AF8" s="31"/>
      <c r="AG8" s="31"/>
    </row>
    <row r="9" spans="2:33" x14ac:dyDescent="0.25">
      <c r="B9" s="6">
        <f t="shared" ref="B9:B25" si="2">DAYS360($B$5,D9)</f>
        <v>5</v>
      </c>
      <c r="C9" s="10">
        <v>2</v>
      </c>
      <c r="D9" s="5">
        <v>42009</v>
      </c>
      <c r="E9" s="6" t="s">
        <v>333</v>
      </c>
      <c r="F9" s="30">
        <v>120</v>
      </c>
      <c r="G9" s="31"/>
      <c r="H9" s="31"/>
      <c r="I9" s="31"/>
      <c r="J9" s="31"/>
      <c r="K9" s="31"/>
      <c r="L9" s="6">
        <f t="shared" ref="L9:L25" si="3">F9-$F$26</f>
        <v>-782.25</v>
      </c>
      <c r="M9" s="33">
        <f t="shared" si="1"/>
        <v>179.46045782024694</v>
      </c>
      <c r="N9" s="31"/>
      <c r="O9" s="31"/>
      <c r="P9" s="31"/>
      <c r="Q9" s="31"/>
      <c r="S9" s="6">
        <f>DAYS360($B$5,T9)</f>
        <v>214</v>
      </c>
      <c r="T9" s="5">
        <v>42220</v>
      </c>
      <c r="U9" s="6" t="s">
        <v>375</v>
      </c>
      <c r="V9" s="30">
        <f>21*60</f>
        <v>1260</v>
      </c>
      <c r="W9" s="6">
        <f>COUNT(V8:V9)</f>
        <v>2</v>
      </c>
      <c r="X9" s="6">
        <f>SUM(V8:V9)</f>
        <v>1305</v>
      </c>
      <c r="Y9" s="6">
        <f>(518400-X9)/W9</f>
        <v>258547.5</v>
      </c>
      <c r="Z9" s="6">
        <f>INT(Y9/60/24)</f>
        <v>179</v>
      </c>
      <c r="AA9" s="6">
        <f>X9/W9</f>
        <v>652.5</v>
      </c>
      <c r="AB9" s="6">
        <f>X9-V10</f>
        <v>652.5</v>
      </c>
      <c r="AC9" s="33">
        <f>SQRT((AB9*AB9)/COUNT(S8:S9))</f>
        <v>461.38717472422223</v>
      </c>
      <c r="AD9" s="6">
        <f>W9/365</f>
        <v>5.4794520547945206E-3</v>
      </c>
      <c r="AE9" s="6">
        <f>AD9*EXP(-AD9*365)</f>
        <v>7.4156319581705592E-4</v>
      </c>
      <c r="AF9" s="6">
        <f>1-EXP(-AD9*365)</f>
        <v>0.8646647167633873</v>
      </c>
      <c r="AG9" s="6">
        <f>EXP(-AD9*365)</f>
        <v>0.1353352832366127</v>
      </c>
    </row>
    <row r="10" spans="2:33" x14ac:dyDescent="0.25">
      <c r="B10" s="6">
        <f t="shared" si="2"/>
        <v>80</v>
      </c>
      <c r="C10" s="10">
        <v>1</v>
      </c>
      <c r="D10" s="5">
        <v>42083</v>
      </c>
      <c r="E10" s="6" t="s">
        <v>333</v>
      </c>
      <c r="F10" s="30">
        <v>90</v>
      </c>
      <c r="G10" s="31"/>
      <c r="H10" s="31"/>
      <c r="I10" s="31"/>
      <c r="J10" s="31"/>
      <c r="K10" s="31"/>
      <c r="L10" s="6">
        <f t="shared" si="3"/>
        <v>-812.25</v>
      </c>
      <c r="M10" s="33">
        <f t="shared" si="1"/>
        <v>186.34292983636379</v>
      </c>
      <c r="N10" s="31"/>
      <c r="O10" s="31"/>
      <c r="P10" s="31"/>
      <c r="Q10" s="31"/>
      <c r="S10" s="31"/>
      <c r="T10" s="31"/>
      <c r="U10" s="43" t="s">
        <v>235</v>
      </c>
      <c r="V10" s="6">
        <f>AVERAGE(V8:V9)</f>
        <v>652.5</v>
      </c>
      <c r="W10" s="31"/>
      <c r="X10" s="31"/>
      <c r="Y10" s="31"/>
      <c r="Z10" s="31"/>
      <c r="AA10" s="31"/>
      <c r="AB10" s="31"/>
      <c r="AC10" s="31"/>
      <c r="AD10" s="31"/>
      <c r="AE10" s="31"/>
      <c r="AF10" s="31"/>
      <c r="AG10" s="31"/>
    </row>
    <row r="11" spans="2:33" x14ac:dyDescent="0.25">
      <c r="B11" s="6">
        <f t="shared" si="2"/>
        <v>194</v>
      </c>
      <c r="C11" s="10">
        <v>1</v>
      </c>
      <c r="D11" s="5">
        <v>42199</v>
      </c>
      <c r="E11" s="6" t="s">
        <v>333</v>
      </c>
      <c r="F11" s="30">
        <v>480</v>
      </c>
      <c r="G11" s="31"/>
      <c r="H11" s="31"/>
      <c r="I11" s="31"/>
      <c r="J11" s="31"/>
      <c r="K11" s="31"/>
      <c r="L11" s="6">
        <f t="shared" si="3"/>
        <v>-422.25</v>
      </c>
      <c r="M11" s="33">
        <f t="shared" si="1"/>
        <v>96.870793626844701</v>
      </c>
      <c r="N11" s="31"/>
      <c r="O11" s="31"/>
      <c r="P11" s="31"/>
      <c r="Q11" s="31"/>
      <c r="S11" s="6">
        <f>DAYS360($B$5,T11)</f>
        <v>319</v>
      </c>
      <c r="T11" s="5">
        <v>42327</v>
      </c>
      <c r="U11" s="6" t="s">
        <v>377</v>
      </c>
      <c r="V11" s="30">
        <f>5*25*60</f>
        <v>7500</v>
      </c>
      <c r="W11" s="31"/>
      <c r="X11" s="31"/>
      <c r="Y11" s="31"/>
      <c r="Z11" s="31"/>
      <c r="AA11" s="31"/>
      <c r="AB11" s="31"/>
      <c r="AC11" s="31"/>
      <c r="AD11" s="31"/>
      <c r="AE11" s="31"/>
      <c r="AF11" s="31"/>
      <c r="AG11" s="31"/>
    </row>
    <row r="12" spans="2:33" x14ac:dyDescent="0.25">
      <c r="B12" s="6">
        <f t="shared" si="2"/>
        <v>210</v>
      </c>
      <c r="C12" s="10">
        <v>1</v>
      </c>
      <c r="D12" s="5">
        <v>42215</v>
      </c>
      <c r="E12" s="6" t="s">
        <v>333</v>
      </c>
      <c r="F12" s="30">
        <v>120</v>
      </c>
      <c r="G12" s="31"/>
      <c r="H12" s="31"/>
      <c r="I12" s="31"/>
      <c r="J12" s="31"/>
      <c r="K12" s="31"/>
      <c r="L12" s="6">
        <f t="shared" si="3"/>
        <v>-782.25</v>
      </c>
      <c r="M12" s="33">
        <f t="shared" si="1"/>
        <v>179.46045782024694</v>
      </c>
      <c r="N12" s="31"/>
      <c r="O12" s="31"/>
      <c r="P12" s="31"/>
      <c r="Q12" s="31"/>
      <c r="S12" s="6">
        <f>DAYS360($B$5,T12)</f>
        <v>333</v>
      </c>
      <c r="T12" s="5">
        <v>42341</v>
      </c>
      <c r="U12" s="6" t="s">
        <v>377</v>
      </c>
      <c r="V12" s="30">
        <v>180</v>
      </c>
      <c r="W12" s="6">
        <f>COUNT(V11:V12)</f>
        <v>2</v>
      </c>
      <c r="X12" s="6">
        <f>SUM(V11:V12)</f>
        <v>7680</v>
      </c>
      <c r="Y12" s="6">
        <f>(518400-X12)/W12</f>
        <v>255360</v>
      </c>
      <c r="Z12" s="6">
        <f>INT(Y12/60/24)</f>
        <v>177</v>
      </c>
      <c r="AA12" s="6">
        <f>X12/W12</f>
        <v>3840</v>
      </c>
      <c r="AB12" s="6">
        <f>X12-V13</f>
        <v>3840</v>
      </c>
      <c r="AC12" s="33">
        <f>SQRT((AB12*AB12)/COUNT(S11:S12))</f>
        <v>2715.2900397563426</v>
      </c>
      <c r="AD12" s="6">
        <f>W12/365</f>
        <v>5.4794520547945206E-3</v>
      </c>
      <c r="AE12" s="6">
        <f>AD12*EXP(-AD12*365)</f>
        <v>7.4156319581705592E-4</v>
      </c>
      <c r="AF12" s="6">
        <f>1-EXP(-AD12*365)</f>
        <v>0.8646647167633873</v>
      </c>
      <c r="AG12" s="6">
        <f>EXP(-AD12*365)</f>
        <v>0.1353352832366127</v>
      </c>
    </row>
    <row r="13" spans="2:33" x14ac:dyDescent="0.25">
      <c r="B13" s="6">
        <f t="shared" si="2"/>
        <v>240</v>
      </c>
      <c r="C13" s="10">
        <v>1</v>
      </c>
      <c r="D13" s="5">
        <v>42247</v>
      </c>
      <c r="E13" s="6" t="s">
        <v>333</v>
      </c>
      <c r="F13" s="30">
        <v>45</v>
      </c>
      <c r="G13" s="6">
        <f>COUNT(F9:F12)+1</f>
        <v>5</v>
      </c>
      <c r="H13" s="6">
        <f>SUM(F9:F13)</f>
        <v>855</v>
      </c>
      <c r="I13" s="6">
        <f>(518400-H13)/G13</f>
        <v>103509</v>
      </c>
      <c r="J13" s="6">
        <f>INT(I13/60/24)</f>
        <v>71</v>
      </c>
      <c r="K13" s="6">
        <f>H13/G13</f>
        <v>171</v>
      </c>
      <c r="L13" s="6">
        <f t="shared" si="3"/>
        <v>-857.25</v>
      </c>
      <c r="M13" s="33">
        <f t="shared" si="1"/>
        <v>196.66663786053908</v>
      </c>
      <c r="N13" s="6">
        <f>G13/365</f>
        <v>1.3698630136986301E-2</v>
      </c>
      <c r="O13" s="6">
        <f>N13*EXP(-N13*365)</f>
        <v>9.2300643823088586E-5</v>
      </c>
      <c r="P13" s="6">
        <f>1-EXP(-N13*365)</f>
        <v>0.99326205300091452</v>
      </c>
      <c r="Q13" s="6">
        <f>EXP(-N13*365)</f>
        <v>6.737946999085467E-3</v>
      </c>
      <c r="S13" s="31"/>
      <c r="T13" s="31"/>
      <c r="U13" s="43" t="s">
        <v>235</v>
      </c>
      <c r="V13" s="6">
        <f>AVERAGE(V11:V12)</f>
        <v>3840</v>
      </c>
      <c r="W13" s="31"/>
      <c r="X13" s="31"/>
      <c r="Y13" s="31"/>
      <c r="Z13" s="31"/>
      <c r="AA13" s="31"/>
      <c r="AB13" s="31"/>
      <c r="AC13" s="31"/>
      <c r="AD13" s="31"/>
      <c r="AE13" s="31"/>
      <c r="AF13" s="31"/>
      <c r="AG13" s="31"/>
    </row>
    <row r="14" spans="2:33" x14ac:dyDescent="0.25">
      <c r="B14" s="6">
        <f t="shared" si="2"/>
        <v>28</v>
      </c>
      <c r="C14" s="10">
        <v>1</v>
      </c>
      <c r="D14" s="5">
        <v>42032</v>
      </c>
      <c r="E14" s="6" t="s">
        <v>342</v>
      </c>
      <c r="F14" s="30">
        <v>20</v>
      </c>
      <c r="G14" s="31"/>
      <c r="H14" s="31"/>
      <c r="I14" s="31"/>
      <c r="J14" s="31"/>
      <c r="K14" s="31"/>
      <c r="L14" s="6">
        <f t="shared" si="3"/>
        <v>-882.25</v>
      </c>
      <c r="M14" s="33">
        <f t="shared" si="1"/>
        <v>202.40203120730311</v>
      </c>
      <c r="N14" s="31"/>
      <c r="O14" s="31"/>
      <c r="P14" s="31"/>
      <c r="Q14" s="31"/>
      <c r="S14" s="6">
        <f>DAYS360($B$5,T14)</f>
        <v>194</v>
      </c>
      <c r="T14" s="5">
        <v>42199</v>
      </c>
      <c r="U14" s="6" t="s">
        <v>341</v>
      </c>
      <c r="V14" s="30">
        <v>480</v>
      </c>
      <c r="W14" s="6">
        <f>COUNT(V14:V14)</f>
        <v>1</v>
      </c>
      <c r="X14" s="6">
        <f>SUM(V14:V14)</f>
        <v>480</v>
      </c>
      <c r="Y14" s="6">
        <f>(518400-X14)/W14</f>
        <v>517920</v>
      </c>
      <c r="Z14" s="6">
        <f>INT(Y14/60/24)</f>
        <v>359</v>
      </c>
      <c r="AA14" s="6">
        <f>X14/W14</f>
        <v>480</v>
      </c>
      <c r="AB14" s="6">
        <f>X14-V15</f>
        <v>0</v>
      </c>
      <c r="AC14" s="33">
        <f>SQRT((AB14*AB14)/COUNT(S14:S14))</f>
        <v>0</v>
      </c>
      <c r="AD14" s="6">
        <f>W14/365</f>
        <v>2.7397260273972603E-3</v>
      </c>
      <c r="AE14" s="6">
        <f>AD14*EXP(-AD14*365)</f>
        <v>1.0078888799217598E-3</v>
      </c>
      <c r="AF14" s="6">
        <f>1-EXP(-AD14*365)</f>
        <v>0.63212055882855767</v>
      </c>
      <c r="AG14" s="6">
        <f>EXP(-AD14*365)</f>
        <v>0.36787944117144233</v>
      </c>
    </row>
    <row r="15" spans="2:33" x14ac:dyDescent="0.25">
      <c r="B15" s="6">
        <f t="shared" si="2"/>
        <v>65</v>
      </c>
      <c r="C15" s="10">
        <v>1</v>
      </c>
      <c r="D15" s="5">
        <v>42068</v>
      </c>
      <c r="E15" s="6" t="s">
        <v>342</v>
      </c>
      <c r="F15" s="30">
        <v>50</v>
      </c>
      <c r="G15" s="31"/>
      <c r="H15" s="31"/>
      <c r="I15" s="31"/>
      <c r="J15" s="31"/>
      <c r="K15" s="31"/>
      <c r="L15" s="6">
        <f t="shared" si="3"/>
        <v>-852.25</v>
      </c>
      <c r="M15" s="33">
        <f t="shared" si="1"/>
        <v>195.51955919118626</v>
      </c>
      <c r="N15" s="31"/>
      <c r="O15" s="31"/>
      <c r="P15" s="31"/>
      <c r="Q15" s="31"/>
      <c r="S15" s="31"/>
      <c r="T15" s="31"/>
      <c r="U15" s="43" t="s">
        <v>235</v>
      </c>
      <c r="V15" s="6">
        <f>AVERAGE(V14)</f>
        <v>480</v>
      </c>
      <c r="W15" s="31"/>
      <c r="X15" s="31"/>
      <c r="Y15" s="31"/>
      <c r="Z15" s="31"/>
      <c r="AA15" s="31"/>
      <c r="AB15" s="31"/>
      <c r="AC15" s="31"/>
      <c r="AD15" s="31"/>
      <c r="AE15" s="31"/>
      <c r="AF15" s="31"/>
      <c r="AG15" s="31"/>
    </row>
    <row r="16" spans="2:33" x14ac:dyDescent="0.25">
      <c r="B16" s="6">
        <f t="shared" si="2"/>
        <v>90</v>
      </c>
      <c r="C16" s="10">
        <v>1</v>
      </c>
      <c r="D16" s="5">
        <v>42093</v>
      </c>
      <c r="E16" s="6" t="s">
        <v>342</v>
      </c>
      <c r="F16" s="30">
        <v>20</v>
      </c>
      <c r="G16" s="31"/>
      <c r="H16" s="31"/>
      <c r="I16" s="31"/>
      <c r="J16" s="31"/>
      <c r="K16" s="31"/>
      <c r="L16" s="6">
        <f t="shared" si="3"/>
        <v>-882.25</v>
      </c>
      <c r="M16" s="33">
        <f t="shared" si="1"/>
        <v>202.40203120730311</v>
      </c>
      <c r="N16" s="31"/>
      <c r="O16" s="31"/>
      <c r="P16" s="31"/>
      <c r="Q16" s="31"/>
      <c r="S16" s="6">
        <f>DAYS360($B$5,T16)</f>
        <v>5</v>
      </c>
      <c r="T16" s="5">
        <v>42009</v>
      </c>
      <c r="U16" s="6" t="s">
        <v>338</v>
      </c>
      <c r="V16" s="30">
        <v>60</v>
      </c>
      <c r="W16" s="31"/>
      <c r="X16" s="31"/>
      <c r="Y16" s="31"/>
      <c r="Z16" s="31"/>
      <c r="AA16" s="31"/>
      <c r="AB16" s="31"/>
      <c r="AC16" s="31"/>
      <c r="AD16" s="31"/>
      <c r="AE16" s="31"/>
      <c r="AF16" s="31"/>
      <c r="AG16" s="31"/>
    </row>
    <row r="17" spans="2:33" x14ac:dyDescent="0.25">
      <c r="B17" s="6">
        <f t="shared" si="2"/>
        <v>199</v>
      </c>
      <c r="C17" s="10">
        <v>1</v>
      </c>
      <c r="D17" s="5">
        <v>42204</v>
      </c>
      <c r="E17" s="6" t="s">
        <v>342</v>
      </c>
      <c r="F17" s="30">
        <v>120</v>
      </c>
      <c r="G17" s="31"/>
      <c r="H17" s="31"/>
      <c r="I17" s="31"/>
      <c r="J17" s="31"/>
      <c r="K17" s="31"/>
      <c r="L17" s="6">
        <f t="shared" si="3"/>
        <v>-782.25</v>
      </c>
      <c r="M17" s="33">
        <f t="shared" si="1"/>
        <v>179.46045782024694</v>
      </c>
      <c r="N17" s="31"/>
      <c r="O17" s="31"/>
      <c r="P17" s="31"/>
      <c r="Q17" s="31"/>
      <c r="S17" s="6">
        <f>DAYS360($B$5,T17)</f>
        <v>80</v>
      </c>
      <c r="T17" s="5">
        <v>42083</v>
      </c>
      <c r="U17" s="6" t="s">
        <v>338</v>
      </c>
      <c r="V17" s="30">
        <v>90</v>
      </c>
      <c r="W17" s="31"/>
      <c r="X17" s="31"/>
      <c r="Y17" s="31"/>
      <c r="Z17" s="31"/>
      <c r="AA17" s="31"/>
      <c r="AB17" s="31"/>
      <c r="AC17" s="31"/>
      <c r="AD17" s="31"/>
      <c r="AE17" s="31"/>
      <c r="AF17" s="31"/>
      <c r="AG17" s="31"/>
    </row>
    <row r="18" spans="2:33" x14ac:dyDescent="0.25">
      <c r="B18" s="6">
        <f t="shared" si="2"/>
        <v>214</v>
      </c>
      <c r="C18" s="10">
        <v>1</v>
      </c>
      <c r="D18" s="5">
        <v>42220</v>
      </c>
      <c r="E18" s="6" t="s">
        <v>342</v>
      </c>
      <c r="F18" s="30">
        <v>30</v>
      </c>
      <c r="G18" s="31"/>
      <c r="H18" s="31"/>
      <c r="I18" s="31"/>
      <c r="J18" s="31"/>
      <c r="K18" s="31"/>
      <c r="L18" s="6">
        <f t="shared" si="3"/>
        <v>-872.25</v>
      </c>
      <c r="M18" s="33">
        <f t="shared" si="1"/>
        <v>200.10787386859749</v>
      </c>
      <c r="N18" s="31"/>
      <c r="O18" s="31"/>
      <c r="P18" s="31"/>
      <c r="Q18" s="31"/>
      <c r="S18" s="6">
        <f>DAYS360($B$5,T18)</f>
        <v>210</v>
      </c>
      <c r="T18" s="5">
        <v>42215</v>
      </c>
      <c r="U18" s="6" t="s">
        <v>338</v>
      </c>
      <c r="V18" s="30">
        <v>120</v>
      </c>
      <c r="W18" s="31"/>
      <c r="X18" s="31"/>
      <c r="Y18" s="31"/>
      <c r="Z18" s="31"/>
      <c r="AA18" s="31"/>
      <c r="AB18" s="31"/>
      <c r="AC18" s="31"/>
      <c r="AD18" s="31"/>
      <c r="AE18" s="31"/>
      <c r="AF18" s="31"/>
      <c r="AG18" s="31"/>
    </row>
    <row r="19" spans="2:33" x14ac:dyDescent="0.25">
      <c r="B19" s="6">
        <f t="shared" si="2"/>
        <v>323</v>
      </c>
      <c r="C19" s="10">
        <v>1</v>
      </c>
      <c r="D19" s="5">
        <v>42331</v>
      </c>
      <c r="E19" s="6" t="s">
        <v>342</v>
      </c>
      <c r="F19" s="30">
        <v>120</v>
      </c>
      <c r="G19" s="6">
        <f>COUNT(F14:F19)</f>
        <v>6</v>
      </c>
      <c r="H19" s="6">
        <f>SUM(F14:F19)</f>
        <v>360</v>
      </c>
      <c r="I19" s="6">
        <f>(518400-H19)/G19</f>
        <v>86340</v>
      </c>
      <c r="J19" s="6">
        <f>INT(I19/60/24)</f>
        <v>59</v>
      </c>
      <c r="K19" s="6">
        <f>H19/G19</f>
        <v>60</v>
      </c>
      <c r="L19" s="6">
        <f t="shared" si="3"/>
        <v>-782.25</v>
      </c>
      <c r="M19" s="33">
        <f t="shared" si="1"/>
        <v>179.46045782024694</v>
      </c>
      <c r="N19" s="6">
        <f>G19/365</f>
        <v>1.643835616438356E-2</v>
      </c>
      <c r="O19" s="6">
        <f>N19*EXP(-N19*365)</f>
        <v>4.0746611123282634E-5</v>
      </c>
      <c r="P19" s="6">
        <f>1-EXP(-N19*365)</f>
        <v>0.99752124782333362</v>
      </c>
      <c r="Q19" s="6">
        <f>EXP(-N19*365)</f>
        <v>2.4787521766663607E-3</v>
      </c>
      <c r="S19" s="6">
        <f>DAYS360($B$5,T19)</f>
        <v>240</v>
      </c>
      <c r="T19" s="5">
        <v>42247</v>
      </c>
      <c r="U19" s="6" t="s">
        <v>338</v>
      </c>
      <c r="V19" s="30">
        <v>45</v>
      </c>
      <c r="W19" s="6">
        <f>COUNT(V16:V19)</f>
        <v>4</v>
      </c>
      <c r="X19" s="6">
        <f>SUM(V16:V19)</f>
        <v>315</v>
      </c>
      <c r="Y19" s="6">
        <f>(518400-X19)/W19</f>
        <v>129521.25</v>
      </c>
      <c r="Z19" s="6">
        <f>INT(Y19/60/24)</f>
        <v>89</v>
      </c>
      <c r="AA19" s="6">
        <f>X19/W19</f>
        <v>78.75</v>
      </c>
      <c r="AB19" s="6">
        <f>X19-V20</f>
        <v>236.25</v>
      </c>
      <c r="AC19" s="33">
        <f>SQRT((AB19*AB19)/COUNT(S16:S19))</f>
        <v>118.125</v>
      </c>
      <c r="AD19" s="6">
        <f>W19/365</f>
        <v>1.0958904109589041E-2</v>
      </c>
      <c r="AE19" s="6">
        <f>AD19*EXP(-AD19*365)</f>
        <v>2.0071933028749785E-4</v>
      </c>
      <c r="AF19" s="6">
        <f>1-EXP(-AD19*365)</f>
        <v>0.98168436111126578</v>
      </c>
      <c r="AG19" s="6">
        <f>EXP(-AD19*365)</f>
        <v>1.8315638888734179E-2</v>
      </c>
    </row>
    <row r="20" spans="2:33" x14ac:dyDescent="0.25">
      <c r="B20" s="6">
        <f t="shared" si="2"/>
        <v>240</v>
      </c>
      <c r="C20" s="10">
        <v>1</v>
      </c>
      <c r="D20" s="5">
        <v>42247</v>
      </c>
      <c r="E20" s="6" t="s">
        <v>385</v>
      </c>
      <c r="F20" s="30">
        <v>7200</v>
      </c>
      <c r="G20" s="6">
        <f>COUNT(F20)</f>
        <v>1</v>
      </c>
      <c r="H20" s="6">
        <f>SUM(F20:F20)</f>
        <v>7200</v>
      </c>
      <c r="I20" s="6">
        <f>(518400-H20)/G20</f>
        <v>511200</v>
      </c>
      <c r="J20" s="6">
        <f>INT(I20/60/24)</f>
        <v>355</v>
      </c>
      <c r="K20" s="6">
        <f>H20/G20</f>
        <v>7200</v>
      </c>
      <c r="L20" s="6">
        <f t="shared" si="3"/>
        <v>6297.75</v>
      </c>
      <c r="M20" s="33">
        <f t="shared" si="1"/>
        <v>1444.8029379833304</v>
      </c>
      <c r="N20" s="6">
        <f>G20/365</f>
        <v>2.7397260273972603E-3</v>
      </c>
      <c r="O20" s="6">
        <f>N20*EXP(-N20*365)</f>
        <v>1.0078888799217598E-3</v>
      </c>
      <c r="P20" s="6">
        <f>1-EXP(-N20*365)</f>
        <v>0.63212055882855767</v>
      </c>
      <c r="Q20" s="6">
        <f>EXP(-N20*365)</f>
        <v>0.36787944117144233</v>
      </c>
      <c r="S20" s="31"/>
      <c r="T20" s="31"/>
      <c r="U20" s="43" t="s">
        <v>235</v>
      </c>
      <c r="V20" s="6">
        <f>AVERAGE(V16:V19)</f>
        <v>78.75</v>
      </c>
      <c r="W20" s="31"/>
      <c r="X20" s="31"/>
      <c r="Y20" s="31"/>
      <c r="Z20" s="31"/>
      <c r="AA20" s="31"/>
      <c r="AB20" s="31"/>
      <c r="AC20" s="31"/>
      <c r="AD20" s="31"/>
      <c r="AE20" s="31"/>
      <c r="AF20" s="31"/>
      <c r="AG20" s="31"/>
    </row>
    <row r="21" spans="2:33" x14ac:dyDescent="0.25">
      <c r="B21" s="6">
        <f t="shared" si="2"/>
        <v>40</v>
      </c>
      <c r="C21" s="10">
        <v>1</v>
      </c>
      <c r="D21" s="5">
        <v>42045</v>
      </c>
      <c r="E21" s="6" t="s">
        <v>370</v>
      </c>
      <c r="F21" s="30">
        <v>45</v>
      </c>
      <c r="G21" s="31"/>
      <c r="H21" s="31"/>
      <c r="I21" s="31"/>
      <c r="J21" s="31"/>
      <c r="K21" s="31"/>
      <c r="L21" s="6">
        <f t="shared" si="3"/>
        <v>-857.25</v>
      </c>
      <c r="M21" s="33">
        <f t="shared" si="1"/>
        <v>196.66663786053908</v>
      </c>
      <c r="N21" s="31"/>
      <c r="O21" s="31"/>
      <c r="P21" s="31"/>
      <c r="Q21" s="31"/>
      <c r="S21" s="6">
        <f>DAYS360($B$5,T21)</f>
        <v>5</v>
      </c>
      <c r="T21" s="5">
        <v>42009</v>
      </c>
      <c r="U21" s="6" t="s">
        <v>339</v>
      </c>
      <c r="V21" s="30">
        <v>60</v>
      </c>
      <c r="W21" s="6">
        <f>COUNT(V21)</f>
        <v>1</v>
      </c>
      <c r="X21" s="6">
        <f>SUM(V21:V21)</f>
        <v>60</v>
      </c>
      <c r="Y21" s="6">
        <f>(518400-X21)/W21</f>
        <v>518340</v>
      </c>
      <c r="Z21" s="6">
        <f>INT(Y21/60/24)</f>
        <v>359</v>
      </c>
      <c r="AA21" s="6">
        <f>X21/W21</f>
        <v>60</v>
      </c>
      <c r="AB21" s="6">
        <f>X21-V22</f>
        <v>0</v>
      </c>
      <c r="AC21" s="33">
        <f>SQRT((AB21*AB21)/COUNT(S21:S21))</f>
        <v>0</v>
      </c>
      <c r="AD21" s="6">
        <f>W21/365</f>
        <v>2.7397260273972603E-3</v>
      </c>
      <c r="AE21" s="6">
        <f>AD21*EXP(-AD21*365)</f>
        <v>1.0078888799217598E-3</v>
      </c>
      <c r="AF21" s="6">
        <f>1-EXP(-AD21*365)</f>
        <v>0.63212055882855767</v>
      </c>
      <c r="AG21" s="6">
        <f>EXP(-AD21*365)</f>
        <v>0.36787944117144233</v>
      </c>
    </row>
    <row r="22" spans="2:33" x14ac:dyDescent="0.25">
      <c r="B22" s="6">
        <f t="shared" si="2"/>
        <v>124</v>
      </c>
      <c r="C22" s="10">
        <v>1</v>
      </c>
      <c r="D22" s="5">
        <v>42128</v>
      </c>
      <c r="E22" s="6" t="s">
        <v>370</v>
      </c>
      <c r="F22" s="30">
        <v>360</v>
      </c>
      <c r="G22" s="31"/>
      <c r="H22" s="31"/>
      <c r="I22" s="31"/>
      <c r="J22" s="31"/>
      <c r="K22" s="31"/>
      <c r="L22" s="6">
        <f t="shared" si="3"/>
        <v>-542.25</v>
      </c>
      <c r="M22" s="33">
        <f t="shared" si="1"/>
        <v>124.40068169131212</v>
      </c>
      <c r="N22" s="31"/>
      <c r="O22" s="31"/>
      <c r="P22" s="31"/>
      <c r="Q22" s="31"/>
      <c r="S22" s="31"/>
      <c r="T22" s="31"/>
      <c r="U22" s="43" t="s">
        <v>235</v>
      </c>
      <c r="V22" s="6">
        <f>AVERAGE(V21)</f>
        <v>60</v>
      </c>
      <c r="W22" s="31"/>
      <c r="X22" s="31"/>
      <c r="Y22" s="31"/>
      <c r="Z22" s="31"/>
      <c r="AA22" s="31"/>
      <c r="AB22" s="31"/>
      <c r="AC22" s="31"/>
      <c r="AD22" s="31"/>
      <c r="AE22" s="31"/>
      <c r="AF22" s="31"/>
      <c r="AG22" s="31"/>
    </row>
    <row r="23" spans="2:33" x14ac:dyDescent="0.25">
      <c r="B23" s="6">
        <f t="shared" si="2"/>
        <v>214</v>
      </c>
      <c r="C23" s="10">
        <v>1</v>
      </c>
      <c r="D23" s="5">
        <v>42220</v>
      </c>
      <c r="E23" s="6" t="s">
        <v>370</v>
      </c>
      <c r="F23" s="30">
        <f>21*60</f>
        <v>1260</v>
      </c>
      <c r="G23" s="31"/>
      <c r="H23" s="31"/>
      <c r="I23" s="31"/>
      <c r="J23" s="31"/>
      <c r="K23" s="31"/>
      <c r="L23" s="6">
        <f t="shared" si="3"/>
        <v>357.75</v>
      </c>
      <c r="M23" s="33">
        <f t="shared" si="1"/>
        <v>82.07347879219347</v>
      </c>
      <c r="N23" s="31"/>
      <c r="O23" s="31"/>
      <c r="P23" s="31"/>
      <c r="Q23" s="31"/>
      <c r="S23" s="6">
        <f>DAYS360($B$5,T23)</f>
        <v>65</v>
      </c>
      <c r="T23" s="5">
        <v>42068</v>
      </c>
      <c r="U23" s="6" t="s">
        <v>347</v>
      </c>
      <c r="V23" s="30">
        <v>50</v>
      </c>
      <c r="W23" s="31"/>
      <c r="X23" s="31"/>
      <c r="Y23" s="31"/>
      <c r="Z23" s="31"/>
      <c r="AA23" s="31"/>
      <c r="AB23" s="31"/>
      <c r="AC23" s="31"/>
      <c r="AD23" s="31"/>
      <c r="AE23" s="31"/>
      <c r="AF23" s="31"/>
      <c r="AG23" s="31"/>
    </row>
    <row r="24" spans="2:33" x14ac:dyDescent="0.25">
      <c r="B24" s="6">
        <f t="shared" si="2"/>
        <v>319</v>
      </c>
      <c r="C24" s="10">
        <v>1</v>
      </c>
      <c r="D24" s="5">
        <v>42327</v>
      </c>
      <c r="E24" s="6" t="s">
        <v>370</v>
      </c>
      <c r="F24" s="30">
        <f>5*25*60</f>
        <v>7500</v>
      </c>
      <c r="G24" s="31"/>
      <c r="H24" s="31"/>
      <c r="I24" s="31"/>
      <c r="J24" s="31"/>
      <c r="K24" s="31"/>
      <c r="L24" s="6">
        <f t="shared" si="3"/>
        <v>6597.75</v>
      </c>
      <c r="M24" s="33">
        <f t="shared" si="1"/>
        <v>1513.6276581444988</v>
      </c>
      <c r="N24" s="31"/>
      <c r="O24" s="31"/>
      <c r="P24" s="31"/>
      <c r="Q24" s="31"/>
      <c r="S24" s="6">
        <f>DAYS360($B$5,T24)</f>
        <v>90</v>
      </c>
      <c r="T24" s="5">
        <v>42093</v>
      </c>
      <c r="U24" s="6" t="s">
        <v>347</v>
      </c>
      <c r="V24" s="30">
        <v>20</v>
      </c>
      <c r="W24" s="6">
        <f>COUNT(V23:V24)</f>
        <v>2</v>
      </c>
      <c r="X24" s="6">
        <f>SUM(V23:V24)</f>
        <v>70</v>
      </c>
      <c r="Y24" s="6">
        <f>(518400-X24)/W24</f>
        <v>259165</v>
      </c>
      <c r="Z24" s="6">
        <f>INT(Y24/60/24)</f>
        <v>179</v>
      </c>
      <c r="AA24" s="6">
        <f>X24/W24</f>
        <v>35</v>
      </c>
      <c r="AB24" s="6">
        <f>X24-V25</f>
        <v>35</v>
      </c>
      <c r="AC24" s="33">
        <f>SQRT((AB24*AB24)/COUNT(S23:S24))</f>
        <v>24.748737341529164</v>
      </c>
      <c r="AD24" s="6">
        <f>W24/365</f>
        <v>5.4794520547945206E-3</v>
      </c>
      <c r="AE24" s="6">
        <f>AD24*EXP(-AD24*365)</f>
        <v>7.4156319581705592E-4</v>
      </c>
      <c r="AF24" s="6">
        <f>1-EXP(-AD24*365)</f>
        <v>0.8646647167633873</v>
      </c>
      <c r="AG24" s="6">
        <f>EXP(-AD24*365)</f>
        <v>0.1353352832366127</v>
      </c>
    </row>
    <row r="25" spans="2:33" x14ac:dyDescent="0.25">
      <c r="B25" s="6">
        <f t="shared" si="2"/>
        <v>333</v>
      </c>
      <c r="C25" s="10">
        <v>1</v>
      </c>
      <c r="D25" s="5">
        <v>42341</v>
      </c>
      <c r="E25" s="6" t="s">
        <v>370</v>
      </c>
      <c r="F25" s="30">
        <v>180</v>
      </c>
      <c r="G25" s="6">
        <f>COUNT(F21:F25)</f>
        <v>5</v>
      </c>
      <c r="H25" s="6">
        <f>SUM(F21:F25)</f>
        <v>9345</v>
      </c>
      <c r="I25" s="6">
        <f>(518400-H25)/G25</f>
        <v>101811</v>
      </c>
      <c r="J25" s="6">
        <f>INT(I25/60/24)</f>
        <v>70</v>
      </c>
      <c r="K25" s="6">
        <f>H25/G25</f>
        <v>1869</v>
      </c>
      <c r="L25" s="6">
        <f t="shared" si="3"/>
        <v>-722.25</v>
      </c>
      <c r="M25" s="33">
        <f t="shared" si="1"/>
        <v>165.69551378801324</v>
      </c>
      <c r="N25" s="6">
        <f>G25/365</f>
        <v>1.3698630136986301E-2</v>
      </c>
      <c r="O25" s="6">
        <f>N25*EXP(-N25*365)</f>
        <v>9.2300643823088586E-5</v>
      </c>
      <c r="P25" s="6">
        <f>1-EXP(-N25*365)</f>
        <v>0.99326205300091452</v>
      </c>
      <c r="Q25" s="6">
        <f>EXP(-N25*365)</f>
        <v>6.737946999085467E-3</v>
      </c>
      <c r="S25" s="31"/>
      <c r="T25" s="31"/>
      <c r="U25" s="43" t="s">
        <v>235</v>
      </c>
      <c r="V25" s="6">
        <f>AVERAGE(V23:V24)</f>
        <v>35</v>
      </c>
      <c r="W25" s="31"/>
      <c r="X25" s="31"/>
      <c r="Y25" s="31"/>
      <c r="Z25" s="31"/>
      <c r="AA25" s="31"/>
      <c r="AB25" s="31"/>
      <c r="AC25" s="31"/>
      <c r="AD25" s="31"/>
      <c r="AE25" s="31"/>
      <c r="AF25" s="31"/>
      <c r="AG25" s="31"/>
    </row>
    <row r="26" spans="2:33" x14ac:dyDescent="0.25">
      <c r="E26" s="43" t="s">
        <v>235</v>
      </c>
      <c r="F26" s="6">
        <f>AVERAGE(F6:F25)</f>
        <v>902.25</v>
      </c>
      <c r="S26" s="6">
        <f>DAYS360($B$5,T26)</f>
        <v>28</v>
      </c>
      <c r="T26" s="5">
        <v>42032</v>
      </c>
      <c r="U26" s="6" t="s">
        <v>349</v>
      </c>
      <c r="V26" s="30">
        <v>20</v>
      </c>
      <c r="W26" s="31"/>
      <c r="X26" s="31"/>
      <c r="Y26" s="31"/>
      <c r="Z26" s="31"/>
      <c r="AA26" s="31"/>
      <c r="AB26" s="31"/>
      <c r="AC26" s="31"/>
      <c r="AD26" s="31"/>
      <c r="AE26" s="31"/>
      <c r="AF26" s="31"/>
      <c r="AG26" s="31"/>
    </row>
    <row r="27" spans="2:33" x14ac:dyDescent="0.25">
      <c r="S27" s="6">
        <f>DAYS360($B$5,T27)</f>
        <v>199</v>
      </c>
      <c r="T27" s="5">
        <v>42204</v>
      </c>
      <c r="U27" s="6" t="s">
        <v>349</v>
      </c>
      <c r="V27" s="30">
        <v>120</v>
      </c>
      <c r="W27" s="31"/>
      <c r="X27" s="31"/>
      <c r="Y27" s="31"/>
      <c r="Z27" s="31"/>
      <c r="AA27" s="31"/>
      <c r="AB27" s="31"/>
      <c r="AC27" s="31"/>
      <c r="AD27" s="31"/>
      <c r="AE27" s="31"/>
      <c r="AF27" s="31"/>
      <c r="AG27" s="31"/>
    </row>
    <row r="28" spans="2:33" x14ac:dyDescent="0.25">
      <c r="B28" s="32" t="s">
        <v>193</v>
      </c>
      <c r="S28" s="6">
        <f>DAYS360($B$5,T28)</f>
        <v>214</v>
      </c>
      <c r="T28" s="5">
        <v>42220</v>
      </c>
      <c r="U28" s="6" t="s">
        <v>349</v>
      </c>
      <c r="V28" s="30">
        <v>30</v>
      </c>
      <c r="W28" s="31"/>
      <c r="X28" s="31"/>
      <c r="Y28" s="31"/>
      <c r="Z28" s="31"/>
      <c r="AA28" s="31"/>
      <c r="AB28" s="31"/>
      <c r="AC28" s="31"/>
      <c r="AD28" s="31"/>
      <c r="AE28" s="31"/>
      <c r="AF28" s="31"/>
      <c r="AG28" s="31"/>
    </row>
    <row r="29" spans="2:33" x14ac:dyDescent="0.25">
      <c r="B29" t="s">
        <v>255</v>
      </c>
      <c r="S29" s="6">
        <f>DAYS360($B$5,T29)</f>
        <v>323</v>
      </c>
      <c r="T29" s="5">
        <v>42331</v>
      </c>
      <c r="U29" s="6" t="s">
        <v>349</v>
      </c>
      <c r="V29" s="30">
        <v>120</v>
      </c>
      <c r="W29" s="6">
        <f>COUNT(V26:V29)</f>
        <v>4</v>
      </c>
      <c r="X29" s="6">
        <f>SUM(V26:V29)</f>
        <v>290</v>
      </c>
      <c r="Y29" s="6">
        <f>(518400-X29)/W29</f>
        <v>129527.5</v>
      </c>
      <c r="Z29" s="6">
        <f>INT(Y29/60/24)</f>
        <v>89</v>
      </c>
      <c r="AA29" s="6">
        <f>X29/W29</f>
        <v>72.5</v>
      </c>
      <c r="AB29" s="6">
        <f>X29-V30</f>
        <v>217.5</v>
      </c>
      <c r="AC29" s="33">
        <f>SQRT((AB29*AB29)/COUNT(S26:S29))</f>
        <v>108.75</v>
      </c>
      <c r="AD29" s="6">
        <f>W29/365</f>
        <v>1.0958904109589041E-2</v>
      </c>
      <c r="AE29" s="6">
        <f>AD29*EXP(-AD29*365)</f>
        <v>2.0071933028749785E-4</v>
      </c>
      <c r="AF29" s="6">
        <f>1-EXP(-AD29*365)</f>
        <v>0.98168436111126578</v>
      </c>
      <c r="AG29" s="6">
        <f>EXP(-AD29*365)</f>
        <v>1.8315638888734179E-2</v>
      </c>
    </row>
    <row r="30" spans="2:33" x14ac:dyDescent="0.25">
      <c r="S30" s="31"/>
      <c r="T30" s="31"/>
      <c r="U30" s="43" t="s">
        <v>235</v>
      </c>
      <c r="V30" s="6">
        <f>AVERAGE(V26:V29)</f>
        <v>72.5</v>
      </c>
      <c r="W30" s="31"/>
      <c r="X30" s="31"/>
      <c r="Y30" s="31"/>
      <c r="Z30" s="31"/>
      <c r="AA30" s="31"/>
      <c r="AB30" s="31"/>
      <c r="AC30" s="31"/>
      <c r="AD30" s="31"/>
      <c r="AE30" s="31"/>
      <c r="AF30" s="31"/>
      <c r="AG30" s="31"/>
    </row>
    <row r="31" spans="2:33" x14ac:dyDescent="0.25">
      <c r="B31" s="37" t="s">
        <v>209</v>
      </c>
      <c r="S31" s="6">
        <f>DAYS360(S29,T31)</f>
        <v>41110</v>
      </c>
      <c r="T31" s="5">
        <v>42032</v>
      </c>
      <c r="U31" s="6" t="s">
        <v>402</v>
      </c>
      <c r="V31" s="30">
        <v>15</v>
      </c>
      <c r="W31" s="31"/>
      <c r="X31" s="31"/>
      <c r="Y31" s="31"/>
      <c r="Z31" s="31"/>
      <c r="AA31" s="31"/>
      <c r="AB31" s="31"/>
      <c r="AC31" s="31"/>
      <c r="AD31" s="31"/>
      <c r="AE31" s="31"/>
      <c r="AF31" s="31"/>
      <c r="AG31" s="31"/>
    </row>
    <row r="32" spans="2:33" x14ac:dyDescent="0.25">
      <c r="B32" s="37" t="s">
        <v>210</v>
      </c>
      <c r="S32" s="6">
        <f>DAYS360(S29,T32)</f>
        <v>41241</v>
      </c>
      <c r="T32" s="5">
        <v>42164</v>
      </c>
      <c r="U32" s="6" t="s">
        <v>402</v>
      </c>
      <c r="V32" s="30">
        <v>150</v>
      </c>
      <c r="W32" s="31"/>
      <c r="X32" s="31"/>
      <c r="Y32" s="31"/>
      <c r="Z32" s="31"/>
      <c r="AA32" s="31"/>
      <c r="AB32" s="31"/>
      <c r="AC32" s="31"/>
      <c r="AD32" s="31"/>
      <c r="AE32" s="31"/>
      <c r="AF32" s="31"/>
      <c r="AG32" s="31"/>
    </row>
    <row r="33" spans="2:33" x14ac:dyDescent="0.25">
      <c r="B33" s="40" t="s">
        <v>222</v>
      </c>
      <c r="S33" s="6">
        <f>DAYS360(S29,T33)</f>
        <v>41323</v>
      </c>
      <c r="T33" s="5">
        <v>42247</v>
      </c>
      <c r="U33" s="6" t="s">
        <v>402</v>
      </c>
      <c r="V33" s="30">
        <v>120</v>
      </c>
      <c r="W33" s="6">
        <f>COUNT(V31:V33)</f>
        <v>3</v>
      </c>
      <c r="X33" s="6">
        <f>SUM(V31:V33)</f>
        <v>285</v>
      </c>
      <c r="Y33" s="6">
        <f>(518400-X33)/W33</f>
        <v>172705</v>
      </c>
      <c r="Z33" s="6">
        <f>INT(Y33/60/24)</f>
        <v>119</v>
      </c>
      <c r="AA33" s="6">
        <f>X33/W33</f>
        <v>95</v>
      </c>
      <c r="AB33" s="6">
        <f>X33-V34</f>
        <v>190</v>
      </c>
      <c r="AC33" s="33">
        <f>SQRT((AB33*AB33)/COUNT(S31:S33))</f>
        <v>109.6965511460289</v>
      </c>
      <c r="AD33" s="6">
        <f>W33/365</f>
        <v>8.21917808219178E-3</v>
      </c>
      <c r="AE33" s="6">
        <f>AD33*EXP(-AD33*365)</f>
        <v>4.0920878110573119E-4</v>
      </c>
      <c r="AF33" s="6">
        <f>1-EXP(-AD33*365)</f>
        <v>0.95021293163213605</v>
      </c>
      <c r="AG33" s="6">
        <f>EXP(-AD33*365)</f>
        <v>4.9787068367863965E-2</v>
      </c>
    </row>
    <row r="34" spans="2:33" x14ac:dyDescent="0.25">
      <c r="B34" s="40" t="s">
        <v>232</v>
      </c>
      <c r="S34" s="31"/>
      <c r="T34" s="31"/>
      <c r="U34" s="43" t="s">
        <v>235</v>
      </c>
      <c r="V34" s="6">
        <f>AVERAGE(V31:V33)</f>
        <v>95</v>
      </c>
      <c r="W34" s="31"/>
      <c r="X34" s="31"/>
      <c r="Y34" s="31"/>
      <c r="Z34" s="31"/>
      <c r="AA34" s="31"/>
      <c r="AB34" s="31"/>
      <c r="AC34" s="31"/>
      <c r="AD34" s="31"/>
      <c r="AE34" s="31"/>
      <c r="AF34" s="31"/>
      <c r="AG34" s="31"/>
    </row>
    <row r="35" spans="2:33" x14ac:dyDescent="0.25">
      <c r="B35" s="40"/>
      <c r="S35" s="6">
        <f>DAYS360($B$5,T35)</f>
        <v>240</v>
      </c>
      <c r="T35" s="5">
        <v>42247</v>
      </c>
      <c r="U35" s="6" t="s">
        <v>399</v>
      </c>
      <c r="V35" s="30">
        <v>7200</v>
      </c>
      <c r="W35" s="6">
        <f>COUNT(V35)</f>
        <v>1</v>
      </c>
      <c r="X35" s="6">
        <f>SUM(V35:V35)</f>
        <v>7200</v>
      </c>
      <c r="Y35" s="6">
        <f>(518400-X35)/W35</f>
        <v>511200</v>
      </c>
      <c r="Z35" s="6">
        <f>INT(Y35/60/24)</f>
        <v>355</v>
      </c>
      <c r="AA35" s="6">
        <f>X35/W35</f>
        <v>7200</v>
      </c>
      <c r="AB35" s="6">
        <f>X35-V36</f>
        <v>0</v>
      </c>
      <c r="AC35" s="33">
        <f>SQRT((AB35*AB35)/COUNT(S35:S35))</f>
        <v>0</v>
      </c>
      <c r="AD35" s="6">
        <f>W35/365</f>
        <v>2.7397260273972603E-3</v>
      </c>
      <c r="AE35" s="6">
        <f>AD35*EXP(-AD35*365)</f>
        <v>1.0078888799217598E-3</v>
      </c>
      <c r="AF35" s="6">
        <f>1-EXP(-AD35*365)</f>
        <v>0.63212055882855767</v>
      </c>
      <c r="AG35" s="6">
        <f>EXP(-AD35*365)</f>
        <v>0.36787944117144233</v>
      </c>
    </row>
    <row r="36" spans="2:33" x14ac:dyDescent="0.25">
      <c r="B36" t="s">
        <v>234</v>
      </c>
      <c r="S36" s="31"/>
      <c r="T36" s="31"/>
      <c r="U36" s="43" t="s">
        <v>235</v>
      </c>
      <c r="V36" s="6">
        <f>AVERAGE(V35)</f>
        <v>7200</v>
      </c>
      <c r="W36" s="31"/>
      <c r="X36" s="31"/>
      <c r="Y36" s="31"/>
      <c r="Z36" s="31"/>
      <c r="AA36" s="31"/>
      <c r="AB36" s="31"/>
      <c r="AC36" s="31"/>
      <c r="AD36" s="31"/>
      <c r="AE36" s="31"/>
      <c r="AF36" s="31"/>
      <c r="AG36" s="31"/>
    </row>
    <row r="38" spans="2:33" x14ac:dyDescent="0.25">
      <c r="B38" t="s">
        <v>225</v>
      </c>
    </row>
    <row r="39" spans="2:33" x14ac:dyDescent="0.25">
      <c r="C39" t="s">
        <v>226</v>
      </c>
    </row>
    <row r="40" spans="2:33" x14ac:dyDescent="0.25">
      <c r="C40" t="s">
        <v>227</v>
      </c>
    </row>
    <row r="41" spans="2:33" x14ac:dyDescent="0.25">
      <c r="C41" t="s">
        <v>228</v>
      </c>
    </row>
    <row r="43" spans="2:33" x14ac:dyDescent="0.25">
      <c r="B43" t="s">
        <v>229</v>
      </c>
    </row>
  </sheetData>
  <sheetProtection sheet="1" objects="1" scenarios="1"/>
  <sortState ref="S6:Z26">
    <sortCondition ref="U6:U26"/>
  </sortState>
  <mergeCells count="2">
    <mergeCell ref="S2:AG3"/>
    <mergeCell ref="B2:Q3"/>
  </mergeCells>
  <pageMargins left="0.7" right="0.7" top="0.75" bottom="0.75" header="0.3" footer="0.3"/>
  <pageSetup paperSize="9" orientation="portrait" horizontalDpi="300" r:id="rId1"/>
  <drawing r:id="rId2"/>
  <legacyDrawing r:id="rId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2:AM85"/>
  <sheetViews>
    <sheetView zoomScale="85" zoomScaleNormal="85" workbookViewId="0">
      <selection activeCell="AP30" sqref="AP30"/>
    </sheetView>
  </sheetViews>
  <sheetFormatPr defaultRowHeight="15" x14ac:dyDescent="0.25"/>
  <cols>
    <col min="1" max="1" width="3" customWidth="1"/>
    <col min="2" max="3" width="10.42578125" bestFit="1" customWidth="1"/>
    <col min="4" max="4" width="21.42578125" bestFit="1" customWidth="1"/>
    <col min="6" max="6" width="19.28515625" bestFit="1" customWidth="1"/>
    <col min="7" max="7" width="19.140625" bestFit="1" customWidth="1"/>
    <col min="8" max="8" width="18.140625" bestFit="1" customWidth="1"/>
    <col min="13" max="20" width="9.140625" style="60"/>
    <col min="21" max="21" width="15" style="60" bestFit="1" customWidth="1"/>
    <col min="22" max="23" width="9.140625" style="60"/>
    <col min="35" max="35" width="10.7109375" bestFit="1" customWidth="1"/>
    <col min="36" max="38" width="9.140625" customWidth="1"/>
    <col min="39" max="39" width="12.42578125" customWidth="1"/>
    <col min="40" max="51" width="9.140625" customWidth="1"/>
  </cols>
  <sheetData>
    <row r="2" spans="2:39" ht="15" customHeight="1" x14ac:dyDescent="0.25">
      <c r="B2" s="143" t="s">
        <v>387</v>
      </c>
      <c r="C2" s="144"/>
      <c r="D2" s="144"/>
      <c r="E2" s="144"/>
      <c r="F2" s="144"/>
      <c r="G2" s="144"/>
      <c r="H2" s="144"/>
    </row>
    <row r="3" spans="2:39" x14ac:dyDescent="0.25">
      <c r="B3" s="127"/>
      <c r="C3" s="128"/>
      <c r="D3" s="128"/>
      <c r="E3" s="128"/>
      <c r="F3" s="128"/>
      <c r="G3" s="128"/>
      <c r="H3" s="128"/>
      <c r="J3" s="130" t="s">
        <v>292</v>
      </c>
      <c r="K3" s="130"/>
      <c r="L3" s="130"/>
      <c r="M3" s="114"/>
      <c r="N3" s="114"/>
      <c r="O3" s="114"/>
      <c r="P3" s="114"/>
      <c r="Q3" s="114"/>
      <c r="R3" s="114"/>
      <c r="S3" s="114"/>
      <c r="T3" s="114"/>
      <c r="U3" s="114"/>
      <c r="V3" s="114"/>
      <c r="W3" s="114"/>
      <c r="X3" s="130" t="s">
        <v>292</v>
      </c>
      <c r="Y3" s="130"/>
      <c r="Z3" s="130"/>
      <c r="AA3" s="130"/>
      <c r="AB3" s="130"/>
      <c r="AC3" s="130"/>
      <c r="AD3" s="130"/>
      <c r="AE3" s="130"/>
      <c r="AF3" s="130"/>
      <c r="AG3" s="130"/>
      <c r="AH3" s="130"/>
      <c r="AI3" s="130"/>
    </row>
    <row r="4" spans="2:39" x14ac:dyDescent="0.25">
      <c r="B4" s="7" t="s">
        <v>165</v>
      </c>
      <c r="C4" s="7" t="s">
        <v>5</v>
      </c>
      <c r="D4" s="7" t="s">
        <v>197</v>
      </c>
      <c r="E4" s="7" t="s">
        <v>185</v>
      </c>
      <c r="F4" s="7" t="s">
        <v>278</v>
      </c>
      <c r="G4" s="7" t="s">
        <v>282</v>
      </c>
      <c r="H4" s="7" t="s">
        <v>280</v>
      </c>
      <c r="J4" s="131" t="s">
        <v>395</v>
      </c>
      <c r="K4" s="131"/>
      <c r="L4" s="131"/>
      <c r="M4" s="115"/>
      <c r="N4" s="115"/>
      <c r="O4" s="115"/>
      <c r="P4" s="115"/>
      <c r="Q4" s="115"/>
      <c r="R4" s="115"/>
      <c r="S4" s="115"/>
      <c r="T4" s="115"/>
      <c r="U4" s="115"/>
      <c r="V4" s="115"/>
      <c r="W4" s="115"/>
      <c r="X4" s="131" t="s">
        <v>398</v>
      </c>
      <c r="Y4" s="131"/>
      <c r="Z4" s="131"/>
      <c r="AA4" s="131"/>
      <c r="AB4" s="131"/>
      <c r="AC4" s="131"/>
      <c r="AD4" s="131"/>
      <c r="AE4" s="131"/>
      <c r="AF4" s="131"/>
      <c r="AG4" s="131"/>
      <c r="AH4" s="131"/>
      <c r="AI4" s="131"/>
    </row>
    <row r="5" spans="2:39" x14ac:dyDescent="0.25">
      <c r="B5" s="8"/>
      <c r="C5" s="9"/>
      <c r="D5" s="9"/>
      <c r="E5" s="9" t="s">
        <v>187</v>
      </c>
      <c r="F5" s="9" t="s">
        <v>199</v>
      </c>
      <c r="G5" s="9" t="s">
        <v>281</v>
      </c>
      <c r="H5" s="9" t="s">
        <v>283</v>
      </c>
      <c r="J5" s="82" t="s">
        <v>286</v>
      </c>
      <c r="K5" s="82" t="s">
        <v>284</v>
      </c>
      <c r="L5" s="118" t="s">
        <v>287</v>
      </c>
      <c r="M5" s="116" t="s">
        <v>306</v>
      </c>
      <c r="N5" s="116" t="s">
        <v>307</v>
      </c>
      <c r="O5" s="116" t="s">
        <v>308</v>
      </c>
      <c r="P5" s="116" t="s">
        <v>309</v>
      </c>
      <c r="Q5" s="116" t="s">
        <v>310</v>
      </c>
      <c r="R5" s="116" t="s">
        <v>311</v>
      </c>
      <c r="S5" s="116" t="s">
        <v>312</v>
      </c>
      <c r="T5" s="116" t="s">
        <v>313</v>
      </c>
      <c r="U5" s="116" t="s">
        <v>314</v>
      </c>
      <c r="V5" s="115"/>
      <c r="W5" s="115"/>
      <c r="X5" s="116" t="s">
        <v>286</v>
      </c>
      <c r="Y5" s="116" t="s">
        <v>284</v>
      </c>
      <c r="Z5" s="116" t="s">
        <v>287</v>
      </c>
      <c r="AA5" s="116" t="s">
        <v>306</v>
      </c>
      <c r="AB5" s="116" t="s">
        <v>307</v>
      </c>
      <c r="AC5" s="116" t="s">
        <v>308</v>
      </c>
      <c r="AD5" s="116" t="s">
        <v>309</v>
      </c>
      <c r="AE5" s="116" t="s">
        <v>310</v>
      </c>
      <c r="AF5" s="116" t="s">
        <v>311</v>
      </c>
      <c r="AG5" s="116" t="s">
        <v>312</v>
      </c>
      <c r="AH5" s="116" t="s">
        <v>313</v>
      </c>
      <c r="AI5" s="116" t="s">
        <v>314</v>
      </c>
      <c r="AL5" s="116" t="s">
        <v>286</v>
      </c>
      <c r="AM5" s="116" t="s">
        <v>314</v>
      </c>
    </row>
    <row r="6" spans="2:39" x14ac:dyDescent="0.25">
      <c r="B6" s="6">
        <f>DAYS360("31-12-2009",C6)</f>
        <v>1477</v>
      </c>
      <c r="C6" s="5">
        <v>41677</v>
      </c>
      <c r="D6" s="6" t="s">
        <v>390</v>
      </c>
      <c r="E6" s="6">
        <v>180</v>
      </c>
      <c r="F6" s="79" t="s">
        <v>279</v>
      </c>
      <c r="G6" s="79" t="s">
        <v>279</v>
      </c>
      <c r="H6" s="79" t="s">
        <v>279</v>
      </c>
      <c r="J6" s="83" t="s">
        <v>293</v>
      </c>
      <c r="K6" s="83" t="s">
        <v>293</v>
      </c>
      <c r="L6" s="85" t="s">
        <v>293</v>
      </c>
      <c r="M6" s="85" t="s">
        <v>293</v>
      </c>
      <c r="N6" s="85" t="s">
        <v>293</v>
      </c>
      <c r="O6" s="85" t="s">
        <v>293</v>
      </c>
      <c r="P6" s="85" t="s">
        <v>293</v>
      </c>
      <c r="Q6" s="85" t="s">
        <v>293</v>
      </c>
      <c r="R6" s="85" t="s">
        <v>293</v>
      </c>
      <c r="S6" s="85" t="s">
        <v>293</v>
      </c>
      <c r="T6" s="85" t="s">
        <v>293</v>
      </c>
      <c r="U6" s="85" t="s">
        <v>293</v>
      </c>
      <c r="V6" s="93"/>
      <c r="W6" s="93"/>
      <c r="X6" s="83" t="s">
        <v>293</v>
      </c>
      <c r="Y6" s="83" t="s">
        <v>293</v>
      </c>
      <c r="Z6" s="83" t="s">
        <v>293</v>
      </c>
      <c r="AA6" s="83" t="s">
        <v>293</v>
      </c>
      <c r="AB6" s="83" t="s">
        <v>293</v>
      </c>
      <c r="AC6" s="83" t="s">
        <v>293</v>
      </c>
      <c r="AD6" s="83" t="s">
        <v>293</v>
      </c>
      <c r="AE6" s="83" t="s">
        <v>293</v>
      </c>
      <c r="AF6" s="83" t="s">
        <v>293</v>
      </c>
      <c r="AG6" s="83" t="s">
        <v>293</v>
      </c>
      <c r="AH6" s="83" t="s">
        <v>293</v>
      </c>
      <c r="AI6" s="83" t="s">
        <v>293</v>
      </c>
      <c r="AL6" s="83" t="s">
        <v>293</v>
      </c>
      <c r="AM6" s="83" t="s">
        <v>293</v>
      </c>
    </row>
    <row r="7" spans="2:39" x14ac:dyDescent="0.25">
      <c r="B7" s="6">
        <f t="shared" ref="B7:B8" si="0">DAYS360("31-12-2009",C7)</f>
        <v>1107</v>
      </c>
      <c r="C7" s="5">
        <v>41301</v>
      </c>
      <c r="D7" s="6" t="s">
        <v>393</v>
      </c>
      <c r="E7" s="33">
        <v>60</v>
      </c>
      <c r="F7" s="79" t="s">
        <v>279</v>
      </c>
      <c r="G7" s="79" t="s">
        <v>279</v>
      </c>
      <c r="H7" s="79" t="s">
        <v>279</v>
      </c>
      <c r="J7" s="6">
        <v>280</v>
      </c>
      <c r="K7" s="6">
        <v>1</v>
      </c>
      <c r="L7" s="85">
        <f>($L$10-K7+0.625)/($L$10+0.25)</f>
        <v>0.72222222222222221</v>
      </c>
      <c r="M7" s="88">
        <f t="shared" ref="M7:M8" si="1">1-L7</f>
        <v>0.27777777777777779</v>
      </c>
      <c r="N7" s="6">
        <f t="shared" ref="N7:N8" si="2">LN(LN(1/L7))</f>
        <v>-1.1226312468780728</v>
      </c>
      <c r="O7" s="6">
        <f t="shared" ref="O7:O8" si="3">LN(J7)</f>
        <v>5.6347896031692493</v>
      </c>
      <c r="P7" s="6">
        <f t="shared" ref="P7:P8" si="4">1/L7</f>
        <v>1.3846153846153846</v>
      </c>
      <c r="Q7" s="6">
        <f t="shared" ref="Q7:Q8" si="5">LN(LN(P7))</f>
        <v>-1.1226312468780728</v>
      </c>
      <c r="R7" s="6">
        <f t="shared" ref="R7:R8" si="6">LN(J7)</f>
        <v>5.6347896031692493</v>
      </c>
      <c r="S7" s="6">
        <f t="shared" ref="S7:S8" si="7">R7*R7</f>
        <v>31.750853871984265</v>
      </c>
      <c r="T7" s="6">
        <f t="shared" ref="T7:T8" si="8">R7*Q7</f>
        <v>-6.3257908781014951</v>
      </c>
      <c r="U7" s="121">
        <f>EXP(-((J7/$K$36)^$K$37))</f>
        <v>1</v>
      </c>
      <c r="V7" s="93"/>
      <c r="W7" s="93"/>
      <c r="X7" s="6">
        <v>371</v>
      </c>
      <c r="Y7" s="6">
        <v>1</v>
      </c>
      <c r="Z7" s="83">
        <f>($Z$14-Y7+0.625)/($Z$14+0.25)</f>
        <v>0.9</v>
      </c>
      <c r="AA7" s="88">
        <f t="shared" ref="AA7:AA12" si="9">1-Z7</f>
        <v>9.9999999999999978E-2</v>
      </c>
      <c r="AB7" s="6">
        <f t="shared" ref="AB7:AB12" si="10">LN(LN(1/Z7))</f>
        <v>-2.2503673273124449</v>
      </c>
      <c r="AC7" s="6">
        <f t="shared" ref="AC7:AC12" si="11">LN(X7)</f>
        <v>5.916202062607435</v>
      </c>
      <c r="AD7" s="6">
        <f t="shared" ref="AD7:AD12" si="12">1/Z7</f>
        <v>1.1111111111111112</v>
      </c>
      <c r="AE7" s="6">
        <f t="shared" ref="AE7:AE12" si="13">LN(LN(AD7))</f>
        <v>-2.2503673273124449</v>
      </c>
      <c r="AF7" s="6">
        <f>LN(X7)</f>
        <v>5.916202062607435</v>
      </c>
      <c r="AG7" s="6">
        <f>AF7*AF7</f>
        <v>35.001446845600469</v>
      </c>
      <c r="AH7" s="6">
        <f>AF7*AE7</f>
        <v>-13.313627823470268</v>
      </c>
      <c r="AI7" s="121">
        <f>EXP(-((X7/$Y$43)^$Y$44))</f>
        <v>0.46320822852018773</v>
      </c>
      <c r="AL7" s="30">
        <v>0</v>
      </c>
      <c r="AM7" s="112">
        <f>EXP(-((AL7/$Y$43)^$Y$44))</f>
        <v>1</v>
      </c>
    </row>
    <row r="8" spans="2:39" x14ac:dyDescent="0.25">
      <c r="B8" s="6">
        <f t="shared" si="0"/>
        <v>472</v>
      </c>
      <c r="C8" s="5">
        <v>40655</v>
      </c>
      <c r="D8" s="6" t="s">
        <v>396</v>
      </c>
      <c r="E8" s="33">
        <v>360</v>
      </c>
      <c r="F8" s="79" t="s">
        <v>279</v>
      </c>
      <c r="G8" s="79" t="s">
        <v>279</v>
      </c>
      <c r="H8" s="79" t="s">
        <v>279</v>
      </c>
      <c r="J8" s="6">
        <v>608</v>
      </c>
      <c r="K8" s="6">
        <v>2</v>
      </c>
      <c r="L8" s="85">
        <f>($L$10-K8+0.625)/($L$10+0.25)</f>
        <v>0.27777777777777779</v>
      </c>
      <c r="M8" s="88">
        <f t="shared" si="1"/>
        <v>0.72222222222222221</v>
      </c>
      <c r="N8" s="6">
        <f t="shared" si="2"/>
        <v>0.24758937869430037</v>
      </c>
      <c r="O8" s="6">
        <f t="shared" si="3"/>
        <v>6.4101748819661672</v>
      </c>
      <c r="P8" s="6">
        <f t="shared" si="4"/>
        <v>3.5999999999999996</v>
      </c>
      <c r="Q8" s="6">
        <f t="shared" si="5"/>
        <v>0.24758937869430037</v>
      </c>
      <c r="R8" s="6">
        <f t="shared" si="6"/>
        <v>6.4101748819661672</v>
      </c>
      <c r="S8" s="6">
        <f t="shared" si="7"/>
        <v>41.090342017389965</v>
      </c>
      <c r="T8" s="6">
        <f t="shared" si="8"/>
        <v>1.5870912163478135</v>
      </c>
      <c r="U8" s="122">
        <f>EXP(-((J8/$K$36)^$K$37))</f>
        <v>1</v>
      </c>
      <c r="V8" s="93"/>
      <c r="W8" s="93"/>
      <c r="X8" s="6">
        <v>65</v>
      </c>
      <c r="Y8" s="6">
        <v>2</v>
      </c>
      <c r="Z8" s="83">
        <f t="shared" ref="Z8:Z12" si="14">($Z$14-Y8+0.625)/($Z$14+0.25)</f>
        <v>0.74</v>
      </c>
      <c r="AA8" s="88">
        <f t="shared" si="9"/>
        <v>0.26</v>
      </c>
      <c r="AB8" s="6">
        <f t="shared" si="10"/>
        <v>-1.2002959297088209</v>
      </c>
      <c r="AC8" s="6">
        <f t="shared" si="11"/>
        <v>4.1743872698956368</v>
      </c>
      <c r="AD8" s="6">
        <f t="shared" si="12"/>
        <v>1.3513513513513513</v>
      </c>
      <c r="AE8" s="6">
        <f t="shared" si="13"/>
        <v>-1.2002959297088209</v>
      </c>
      <c r="AF8" s="6">
        <f t="shared" ref="AF8:AF12" si="15">LN(X8)</f>
        <v>4.1743872698956368</v>
      </c>
      <c r="AG8" s="6">
        <f t="shared" ref="AG8:AG12" si="16">AF8*AF8</f>
        <v>17.42550907906675</v>
      </c>
      <c r="AH8" s="6">
        <f t="shared" ref="AH8:AH12" si="17">AF8*AE8</f>
        <v>-5.0105000490840501</v>
      </c>
      <c r="AI8" s="121">
        <f t="shared" ref="AI8:AI12" si="18">EXP(-((X8/$Y$43)^$Y$44))</f>
        <v>0.6932583190798105</v>
      </c>
      <c r="AL8" s="34">
        <v>10</v>
      </c>
      <c r="AM8" s="112">
        <f t="shared" ref="AM8:AM38" si="19">EXP(-((AL8/$Y$43)^$Y$44))</f>
        <v>0.84789204410822538</v>
      </c>
    </row>
    <row r="9" spans="2:39" x14ac:dyDescent="0.25">
      <c r="B9" s="6">
        <f t="shared" ref="B9:B16" si="20">DAYS360("31-12-2009",C9)</f>
        <v>747</v>
      </c>
      <c r="C9" s="5">
        <v>40935</v>
      </c>
      <c r="D9" s="6" t="s">
        <v>396</v>
      </c>
      <c r="E9" s="33">
        <v>60</v>
      </c>
      <c r="F9" s="6">
        <f>C9-C8</f>
        <v>280</v>
      </c>
      <c r="G9" s="6">
        <v>280</v>
      </c>
      <c r="H9" s="6">
        <v>280</v>
      </c>
      <c r="X9" s="6">
        <v>102</v>
      </c>
      <c r="Y9" s="6">
        <v>3</v>
      </c>
      <c r="Z9" s="83">
        <f t="shared" si="14"/>
        <v>0.57999999999999996</v>
      </c>
      <c r="AA9" s="88">
        <f t="shared" si="9"/>
        <v>0.42000000000000004</v>
      </c>
      <c r="AB9" s="6">
        <f t="shared" si="10"/>
        <v>-0.60747020517852923</v>
      </c>
      <c r="AC9" s="6">
        <f t="shared" si="11"/>
        <v>4.6249728132842707</v>
      </c>
      <c r="AD9" s="6">
        <f t="shared" si="12"/>
        <v>1.7241379310344829</v>
      </c>
      <c r="AE9" s="6">
        <f t="shared" si="13"/>
        <v>-0.60747020517852923</v>
      </c>
      <c r="AF9" s="6">
        <f t="shared" si="15"/>
        <v>4.6249728132842707</v>
      </c>
      <c r="AG9" s="6">
        <f t="shared" si="16"/>
        <v>21.390373523618621</v>
      </c>
      <c r="AH9" s="6">
        <f t="shared" si="17"/>
        <v>-2.8095331838309154</v>
      </c>
      <c r="AI9" s="121">
        <f t="shared" si="18"/>
        <v>0.6415276238821549</v>
      </c>
      <c r="AL9" s="34">
        <f>AL8+10</f>
        <v>20</v>
      </c>
      <c r="AM9" s="112">
        <f t="shared" si="19"/>
        <v>0.80115462094119783</v>
      </c>
    </row>
    <row r="10" spans="2:39" x14ac:dyDescent="0.25">
      <c r="B10" s="6">
        <f t="shared" si="20"/>
        <v>1346</v>
      </c>
      <c r="C10" s="5">
        <v>41543</v>
      </c>
      <c r="D10" s="6" t="s">
        <v>396</v>
      </c>
      <c r="E10" s="33">
        <v>30</v>
      </c>
      <c r="F10" s="6">
        <f>C10-C9</f>
        <v>608</v>
      </c>
      <c r="G10" s="6">
        <v>608</v>
      </c>
      <c r="H10" s="6">
        <v>608</v>
      </c>
      <c r="K10" s="80" t="s">
        <v>285</v>
      </c>
      <c r="L10" s="81">
        <f>COUNT(K7:K8)</f>
        <v>2</v>
      </c>
      <c r="M10" s="114"/>
      <c r="N10" s="114"/>
      <c r="O10"/>
      <c r="P10" s="80" t="s">
        <v>325</v>
      </c>
      <c r="Q10">
        <f>SUM(Q7:Q8)</f>
        <v>-0.87504186818377239</v>
      </c>
      <c r="R10">
        <f>SUM(R7:R8)</f>
        <v>12.044964485135417</v>
      </c>
      <c r="S10">
        <f>SUM(S7:S8)</f>
        <v>72.841195889374234</v>
      </c>
      <c r="T10">
        <f>SUM(T7:T8)</f>
        <v>-4.7386996617536816</v>
      </c>
      <c r="U10" s="114"/>
      <c r="V10" s="114"/>
      <c r="W10" s="114"/>
      <c r="X10" s="6">
        <v>143</v>
      </c>
      <c r="Y10" s="6">
        <v>4</v>
      </c>
      <c r="Z10" s="83">
        <f t="shared" si="14"/>
        <v>0.42</v>
      </c>
      <c r="AA10" s="88">
        <f t="shared" si="9"/>
        <v>0.58000000000000007</v>
      </c>
      <c r="AB10" s="6">
        <f t="shared" si="10"/>
        <v>-0.14213911274667057</v>
      </c>
      <c r="AC10" s="6">
        <f t="shared" si="11"/>
        <v>4.962844630259907</v>
      </c>
      <c r="AD10" s="6">
        <f t="shared" si="12"/>
        <v>2.3809523809523809</v>
      </c>
      <c r="AE10" s="6">
        <f t="shared" si="13"/>
        <v>-0.14213911274667057</v>
      </c>
      <c r="AF10" s="6">
        <f t="shared" si="15"/>
        <v>4.962844630259907</v>
      </c>
      <c r="AG10" s="6">
        <f t="shared" si="16"/>
        <v>24.629826824099592</v>
      </c>
      <c r="AH10" s="6">
        <f t="shared" si="17"/>
        <v>-0.70541433244472151</v>
      </c>
      <c r="AI10" s="121">
        <f t="shared" si="18"/>
        <v>0.59890897285654254</v>
      </c>
      <c r="AL10" s="34">
        <f t="shared" ref="AL10:AL34" si="21">AL9+10</f>
        <v>30</v>
      </c>
      <c r="AM10" s="112">
        <f t="shared" si="19"/>
        <v>0.76834542823170593</v>
      </c>
    </row>
    <row r="11" spans="2:39" x14ac:dyDescent="0.25">
      <c r="B11" s="6">
        <f t="shared" si="20"/>
        <v>737</v>
      </c>
      <c r="C11" s="5">
        <v>40925</v>
      </c>
      <c r="D11" s="6" t="s">
        <v>399</v>
      </c>
      <c r="E11" s="33">
        <v>120</v>
      </c>
      <c r="F11" s="79" t="s">
        <v>279</v>
      </c>
      <c r="G11" s="79" t="s">
        <v>279</v>
      </c>
      <c r="H11" s="79" t="s">
        <v>279</v>
      </c>
      <c r="X11" s="6">
        <v>319</v>
      </c>
      <c r="Y11" s="6">
        <v>5</v>
      </c>
      <c r="Z11" s="83">
        <f t="shared" si="14"/>
        <v>0.26</v>
      </c>
      <c r="AA11" s="88">
        <f t="shared" si="9"/>
        <v>0.74</v>
      </c>
      <c r="AB11" s="6">
        <f t="shared" si="10"/>
        <v>0.29793457148413716</v>
      </c>
      <c r="AC11" s="6">
        <f t="shared" si="11"/>
        <v>5.7651911027848444</v>
      </c>
      <c r="AD11" s="6">
        <f t="shared" si="12"/>
        <v>3.8461538461538458</v>
      </c>
      <c r="AE11" s="6">
        <f t="shared" si="13"/>
        <v>0.29793457148413716</v>
      </c>
      <c r="AF11" s="6">
        <f t="shared" si="15"/>
        <v>5.7651911027848444</v>
      </c>
      <c r="AG11" s="6">
        <f t="shared" si="16"/>
        <v>33.237428451629533</v>
      </c>
      <c r="AH11" s="6">
        <f t="shared" si="17"/>
        <v>1.7176497407323628</v>
      </c>
      <c r="AI11" s="121">
        <f t="shared" si="18"/>
        <v>0.48596664923735483</v>
      </c>
      <c r="AL11" s="34">
        <f t="shared" si="21"/>
        <v>40</v>
      </c>
      <c r="AM11" s="112">
        <f t="shared" si="19"/>
        <v>0.74238731592449914</v>
      </c>
    </row>
    <row r="12" spans="2:39" x14ac:dyDescent="0.25">
      <c r="B12" s="6">
        <f t="shared" si="20"/>
        <v>838</v>
      </c>
      <c r="C12" s="5">
        <v>41027</v>
      </c>
      <c r="D12" s="6" t="s">
        <v>399</v>
      </c>
      <c r="E12" s="33">
        <v>120</v>
      </c>
      <c r="F12" s="6">
        <f>C12-C11</f>
        <v>102</v>
      </c>
      <c r="G12" s="6">
        <v>102</v>
      </c>
      <c r="H12" s="6">
        <v>65</v>
      </c>
      <c r="J12" t="s">
        <v>294</v>
      </c>
      <c r="M12"/>
      <c r="N12"/>
      <c r="O12"/>
      <c r="P12"/>
      <c r="Q12"/>
      <c r="R12"/>
      <c r="S12"/>
      <c r="T12"/>
      <c r="U12"/>
      <c r="X12" s="6">
        <v>693</v>
      </c>
      <c r="Y12" s="6">
        <v>6</v>
      </c>
      <c r="Z12" s="83">
        <f t="shared" si="14"/>
        <v>0.1</v>
      </c>
      <c r="AA12" s="88">
        <f t="shared" si="9"/>
        <v>0.9</v>
      </c>
      <c r="AB12" s="6">
        <f t="shared" si="10"/>
        <v>0.83403244524795594</v>
      </c>
      <c r="AC12" s="6">
        <f t="shared" si="11"/>
        <v>6.5410299991899032</v>
      </c>
      <c r="AD12" s="6">
        <f t="shared" si="12"/>
        <v>10</v>
      </c>
      <c r="AE12" s="6">
        <f t="shared" si="13"/>
        <v>0.83403244524795594</v>
      </c>
      <c r="AF12" s="6">
        <f t="shared" si="15"/>
        <v>6.5410299991899032</v>
      </c>
      <c r="AG12" s="6">
        <f t="shared" si="16"/>
        <v>42.785073450302264</v>
      </c>
      <c r="AH12" s="6">
        <f t="shared" si="17"/>
        <v>5.4554312446645907</v>
      </c>
      <c r="AI12" s="121">
        <f t="shared" si="18"/>
        <v>0.36627977967963293</v>
      </c>
      <c r="AL12" s="34">
        <f t="shared" si="21"/>
        <v>50</v>
      </c>
      <c r="AM12" s="112">
        <f t="shared" si="19"/>
        <v>0.72065110278157174</v>
      </c>
    </row>
    <row r="13" spans="2:39" x14ac:dyDescent="0.25">
      <c r="B13" s="6">
        <f t="shared" si="20"/>
        <v>1153</v>
      </c>
      <c r="C13" s="5">
        <v>41346</v>
      </c>
      <c r="D13" s="6" t="s">
        <v>399</v>
      </c>
      <c r="E13" s="33">
        <v>120</v>
      </c>
      <c r="F13" s="6">
        <f t="shared" ref="F13:F16" si="22">C13-C12</f>
        <v>319</v>
      </c>
      <c r="G13" s="6">
        <v>319</v>
      </c>
      <c r="H13" s="6">
        <v>102</v>
      </c>
      <c r="M13"/>
      <c r="N13"/>
      <c r="O13"/>
      <c r="P13"/>
      <c r="Q13"/>
      <c r="R13"/>
      <c r="S13"/>
      <c r="T13"/>
      <c r="U13"/>
      <c r="AL13" s="34">
        <f t="shared" si="21"/>
        <v>60</v>
      </c>
      <c r="AM13" s="112">
        <f t="shared" si="19"/>
        <v>0.70182765820098902</v>
      </c>
    </row>
    <row r="14" spans="2:39" x14ac:dyDescent="0.25">
      <c r="B14" s="6">
        <f t="shared" si="20"/>
        <v>1217</v>
      </c>
      <c r="C14" s="5">
        <v>41411</v>
      </c>
      <c r="D14" s="6" t="s">
        <v>399</v>
      </c>
      <c r="E14" s="33">
        <f>26*60</f>
        <v>1560</v>
      </c>
      <c r="F14" s="6">
        <f t="shared" si="22"/>
        <v>65</v>
      </c>
      <c r="G14" s="6">
        <v>65</v>
      </c>
      <c r="H14" s="6">
        <v>143</v>
      </c>
      <c r="J14" t="s">
        <v>288</v>
      </c>
      <c r="M14"/>
      <c r="N14"/>
      <c r="O14"/>
      <c r="P14"/>
      <c r="Q14"/>
      <c r="R14"/>
      <c r="S14"/>
      <c r="T14"/>
      <c r="U14"/>
      <c r="Y14" s="80" t="s">
        <v>285</v>
      </c>
      <c r="Z14" s="81">
        <f>COUNT(Y7:Y12)</f>
        <v>6</v>
      </c>
      <c r="AA14" s="114"/>
      <c r="AB14" s="114"/>
      <c r="AD14" s="80" t="s">
        <v>325</v>
      </c>
      <c r="AE14">
        <f>SUM(AE7:AE12)</f>
        <v>-3.0683055582143735</v>
      </c>
      <c r="AF14">
        <f>SUM(AF7:AF12)</f>
        <v>31.984627878021993</v>
      </c>
      <c r="AG14">
        <f>SUM(AG7:AG12)</f>
        <v>174.46965817431723</v>
      </c>
      <c r="AH14">
        <f>SUM(AH7:AH12)</f>
        <v>-14.665994403433</v>
      </c>
      <c r="AI14" s="114"/>
      <c r="AL14" s="34">
        <f t="shared" si="21"/>
        <v>70</v>
      </c>
      <c r="AM14" s="112">
        <f t="shared" si="19"/>
        <v>0.68515745467489142</v>
      </c>
    </row>
    <row r="15" spans="2:39" x14ac:dyDescent="0.25">
      <c r="B15" s="6">
        <f t="shared" si="20"/>
        <v>1357</v>
      </c>
      <c r="C15" s="5">
        <v>41554</v>
      </c>
      <c r="D15" s="6" t="s">
        <v>399</v>
      </c>
      <c r="E15" s="33">
        <v>60</v>
      </c>
      <c r="F15" s="6">
        <f t="shared" si="22"/>
        <v>143</v>
      </c>
      <c r="G15" s="6">
        <v>143</v>
      </c>
      <c r="H15" s="6">
        <v>319</v>
      </c>
      <c r="M15"/>
      <c r="N15"/>
      <c r="O15"/>
      <c r="P15"/>
      <c r="Q15"/>
      <c r="R15"/>
      <c r="S15"/>
      <c r="T15"/>
      <c r="U15"/>
      <c r="AL15" s="34">
        <f t="shared" si="21"/>
        <v>80</v>
      </c>
      <c r="AM15" s="112">
        <f t="shared" si="19"/>
        <v>0.67015540449054356</v>
      </c>
    </row>
    <row r="16" spans="2:39" x14ac:dyDescent="0.25">
      <c r="B16" s="6">
        <f t="shared" si="20"/>
        <v>2040</v>
      </c>
      <c r="C16" s="5">
        <v>42247</v>
      </c>
      <c r="D16" s="6" t="s">
        <v>399</v>
      </c>
      <c r="E16" s="30">
        <v>7200</v>
      </c>
      <c r="F16" s="6">
        <f t="shared" si="22"/>
        <v>693</v>
      </c>
      <c r="G16" s="6">
        <v>693</v>
      </c>
      <c r="H16" s="6">
        <v>693</v>
      </c>
      <c r="J16" t="s">
        <v>289</v>
      </c>
      <c r="M16"/>
      <c r="N16"/>
      <c r="O16"/>
      <c r="P16"/>
      <c r="Q16"/>
      <c r="R16"/>
      <c r="S16"/>
      <c r="T16"/>
      <c r="U16"/>
      <c r="X16" t="s">
        <v>294</v>
      </c>
      <c r="AL16" s="34">
        <f t="shared" si="21"/>
        <v>90</v>
      </c>
      <c r="AM16" s="112">
        <f t="shared" si="19"/>
        <v>0.65649039696063027</v>
      </c>
    </row>
    <row r="17" spans="2:39" x14ac:dyDescent="0.25">
      <c r="B17" s="60"/>
      <c r="C17" s="60"/>
      <c r="D17" s="61"/>
      <c r="E17" s="60"/>
      <c r="M17"/>
      <c r="N17"/>
      <c r="O17"/>
      <c r="P17"/>
      <c r="Q17"/>
      <c r="R17"/>
      <c r="S17"/>
      <c r="T17"/>
      <c r="U17"/>
      <c r="AL17" s="34">
        <f t="shared" si="21"/>
        <v>100</v>
      </c>
      <c r="AM17" s="112">
        <f t="shared" si="19"/>
        <v>0.64392508618521216</v>
      </c>
    </row>
    <row r="18" spans="2:39" x14ac:dyDescent="0.25">
      <c r="B18" s="60"/>
      <c r="C18" s="60"/>
      <c r="D18" s="60"/>
      <c r="E18" s="60"/>
      <c r="J18" t="s">
        <v>290</v>
      </c>
      <c r="M18"/>
      <c r="N18"/>
      <c r="O18"/>
      <c r="P18"/>
      <c r="Q18"/>
      <c r="R18"/>
      <c r="S18"/>
      <c r="T18"/>
      <c r="U18"/>
      <c r="X18" t="s">
        <v>288</v>
      </c>
      <c r="AL18" s="34">
        <f t="shared" si="21"/>
        <v>110</v>
      </c>
      <c r="AM18" s="112">
        <f t="shared" si="19"/>
        <v>0.63228281770253059</v>
      </c>
    </row>
    <row r="19" spans="2:39" x14ac:dyDescent="0.25">
      <c r="B19" s="60"/>
      <c r="C19" s="60"/>
      <c r="D19" s="60"/>
      <c r="E19" s="60"/>
      <c r="J19" t="s">
        <v>291</v>
      </c>
      <c r="M19"/>
      <c r="N19"/>
      <c r="O19"/>
      <c r="P19"/>
      <c r="Q19"/>
      <c r="R19"/>
      <c r="S19"/>
      <c r="T19"/>
      <c r="U19"/>
      <c r="AL19" s="34">
        <f t="shared" si="21"/>
        <v>120</v>
      </c>
      <c r="AM19" s="112">
        <f t="shared" si="19"/>
        <v>0.62142812602656472</v>
      </c>
    </row>
    <row r="20" spans="2:39" x14ac:dyDescent="0.25">
      <c r="B20" s="60"/>
      <c r="C20" s="60"/>
      <c r="D20" s="60"/>
      <c r="E20" s="60"/>
      <c r="M20"/>
      <c r="N20"/>
      <c r="O20"/>
      <c r="P20"/>
      <c r="Q20"/>
      <c r="R20"/>
      <c r="S20"/>
      <c r="T20"/>
      <c r="U20"/>
      <c r="X20" t="s">
        <v>289</v>
      </c>
      <c r="AL20" s="34">
        <f t="shared" si="21"/>
        <v>130</v>
      </c>
      <c r="AM20" s="112">
        <f t="shared" si="19"/>
        <v>0.6112545781494495</v>
      </c>
    </row>
    <row r="21" spans="2:39" x14ac:dyDescent="0.25">
      <c r="B21" s="60"/>
      <c r="C21" s="60"/>
      <c r="D21" s="60"/>
      <c r="E21" s="60"/>
      <c r="J21" s="106" t="s">
        <v>315</v>
      </c>
      <c r="M21"/>
      <c r="N21"/>
      <c r="O21"/>
      <c r="P21"/>
      <c r="Q21"/>
      <c r="R21"/>
      <c r="S21"/>
      <c r="T21"/>
      <c r="U21"/>
      <c r="AL21" s="34">
        <f t="shared" si="21"/>
        <v>140</v>
      </c>
      <c r="AM21" s="112">
        <f t="shared" si="19"/>
        <v>0.60167684960054657</v>
      </c>
    </row>
    <row r="22" spans="2:39" x14ac:dyDescent="0.25">
      <c r="B22" s="60"/>
      <c r="C22" s="65"/>
      <c r="D22" s="60"/>
      <c r="E22" s="60"/>
      <c r="M22"/>
      <c r="N22"/>
      <c r="O22"/>
      <c r="P22"/>
      <c r="Q22"/>
      <c r="R22"/>
      <c r="S22"/>
      <c r="T22"/>
      <c r="U22"/>
      <c r="X22" t="s">
        <v>290</v>
      </c>
      <c r="AL22" s="34">
        <f t="shared" si="21"/>
        <v>150</v>
      </c>
      <c r="AM22" s="112">
        <f t="shared" si="19"/>
        <v>0.59262536568602031</v>
      </c>
    </row>
    <row r="23" spans="2:39" x14ac:dyDescent="0.25">
      <c r="B23" s="60"/>
      <c r="C23" s="60"/>
      <c r="D23" s="61"/>
      <c r="E23" s="60"/>
      <c r="J23" t="s">
        <v>316</v>
      </c>
      <c r="M23"/>
      <c r="N23"/>
      <c r="O23"/>
      <c r="P23"/>
      <c r="Q23"/>
      <c r="R23"/>
      <c r="S23"/>
      <c r="T23"/>
      <c r="U23"/>
      <c r="X23" t="s">
        <v>291</v>
      </c>
      <c r="AL23" s="34">
        <f t="shared" si="21"/>
        <v>160</v>
      </c>
      <c r="AM23" s="112">
        <f t="shared" si="19"/>
        <v>0.58404256383801001</v>
      </c>
    </row>
    <row r="24" spans="2:39" x14ac:dyDescent="0.25">
      <c r="B24" s="60"/>
      <c r="C24" s="60"/>
      <c r="D24" s="60"/>
      <c r="E24" s="60"/>
      <c r="M24"/>
      <c r="N24"/>
      <c r="O24"/>
      <c r="P24"/>
      <c r="Q24"/>
      <c r="R24"/>
      <c r="S24"/>
      <c r="T24"/>
      <c r="U24"/>
      <c r="AL24" s="34">
        <f t="shared" si="21"/>
        <v>170</v>
      </c>
      <c r="AM24" s="112">
        <f t="shared" si="19"/>
        <v>0.57588021722063321</v>
      </c>
    </row>
    <row r="25" spans="2:39" x14ac:dyDescent="0.25">
      <c r="B25" s="60"/>
      <c r="C25" s="60"/>
      <c r="D25" s="60"/>
      <c r="E25" s="60"/>
      <c r="K25" t="s">
        <v>317</v>
      </c>
      <c r="M25"/>
      <c r="N25"/>
      <c r="O25"/>
      <c r="P25"/>
      <c r="Q25"/>
      <c r="R25"/>
      <c r="S25"/>
      <c r="T25"/>
      <c r="U25"/>
      <c r="X25" s="106" t="s">
        <v>315</v>
      </c>
      <c r="AL25" s="34">
        <f t="shared" si="21"/>
        <v>180</v>
      </c>
      <c r="AM25" s="112">
        <f t="shared" si="19"/>
        <v>0.56809747433923352</v>
      </c>
    </row>
    <row r="26" spans="2:39" x14ac:dyDescent="0.25">
      <c r="B26" s="60"/>
      <c r="C26" s="60"/>
      <c r="D26" s="60"/>
      <c r="E26" s="60"/>
      <c r="J26" t="s">
        <v>318</v>
      </c>
      <c r="K26" s="107">
        <f>S10</f>
        <v>72.841195889374234</v>
      </c>
      <c r="L26" s="107">
        <f>R10</f>
        <v>12.044964485135417</v>
      </c>
      <c r="M26" s="108" t="s">
        <v>319</v>
      </c>
      <c r="N26" s="107">
        <f>T10</f>
        <v>-4.7386996617536816</v>
      </c>
      <c r="O26"/>
      <c r="P26"/>
      <c r="Q26"/>
      <c r="R26"/>
      <c r="S26"/>
      <c r="T26"/>
      <c r="U26"/>
      <c r="AL26" s="34">
        <f t="shared" si="21"/>
        <v>190</v>
      </c>
      <c r="AM26" s="112">
        <f t="shared" si="19"/>
        <v>0.56065939447417024</v>
      </c>
    </row>
    <row r="27" spans="2:39" x14ac:dyDescent="0.25">
      <c r="B27" s="60"/>
      <c r="C27" s="60"/>
      <c r="D27" s="60"/>
      <c r="E27" s="60"/>
      <c r="K27" s="107">
        <f>R10</f>
        <v>12.044964485135417</v>
      </c>
      <c r="L27" s="107">
        <f>L10</f>
        <v>2</v>
      </c>
      <c r="M27"/>
      <c r="N27" s="107">
        <f>Q10</f>
        <v>-0.87504186818377239</v>
      </c>
      <c r="O27" s="16"/>
      <c r="P27"/>
      <c r="Q27"/>
      <c r="R27"/>
      <c r="S27"/>
      <c r="T27"/>
      <c r="U27"/>
      <c r="X27" t="s">
        <v>316</v>
      </c>
      <c r="AL27" s="34">
        <f t="shared" si="21"/>
        <v>200</v>
      </c>
      <c r="AM27" s="112">
        <f t="shared" si="19"/>
        <v>0.55353583437695342</v>
      </c>
    </row>
    <row r="28" spans="2:39" x14ac:dyDescent="0.25">
      <c r="B28" s="60"/>
      <c r="C28" s="60"/>
      <c r="D28" s="60"/>
      <c r="E28" s="60"/>
      <c r="M28"/>
      <c r="N28"/>
      <c r="O28" s="16"/>
      <c r="P28"/>
      <c r="Q28"/>
      <c r="R28"/>
      <c r="S28"/>
      <c r="T28"/>
      <c r="U28"/>
      <c r="AL28" s="34">
        <f t="shared" si="21"/>
        <v>210</v>
      </c>
      <c r="AM28" s="112">
        <f t="shared" si="19"/>
        <v>0.54670058886176554</v>
      </c>
    </row>
    <row r="29" spans="2:39" x14ac:dyDescent="0.25">
      <c r="B29" s="60"/>
      <c r="C29" s="60"/>
      <c r="D29" s="60"/>
      <c r="E29" s="60"/>
      <c r="J29" t="s">
        <v>322</v>
      </c>
      <c r="M29"/>
      <c r="N29"/>
      <c r="O29" s="16"/>
      <c r="P29"/>
      <c r="Q29"/>
      <c r="R29"/>
      <c r="S29"/>
      <c r="T29"/>
      <c r="U29"/>
      <c r="Y29" t="s">
        <v>317</v>
      </c>
      <c r="AL29" s="34">
        <f>AL28+10</f>
        <v>220</v>
      </c>
      <c r="AM29" s="112">
        <f t="shared" si="19"/>
        <v>0.54013071821772285</v>
      </c>
    </row>
    <row r="30" spans="2:39" x14ac:dyDescent="0.25">
      <c r="B30" s="60"/>
      <c r="C30" s="60"/>
      <c r="D30" s="60"/>
      <c r="E30" s="60"/>
      <c r="M30"/>
      <c r="N30"/>
      <c r="O30" s="16"/>
      <c r="P30"/>
      <c r="Q30"/>
      <c r="R30"/>
      <c r="S30"/>
      <c r="T30"/>
      <c r="U30"/>
      <c r="X30" t="s">
        <v>318</v>
      </c>
      <c r="Y30" s="107">
        <f>AG14</f>
        <v>174.46965817431723</v>
      </c>
      <c r="Z30" s="107">
        <f>AF14</f>
        <v>31.984627878021993</v>
      </c>
      <c r="AA30" s="108" t="s">
        <v>319</v>
      </c>
      <c r="AB30" s="107">
        <f>AH14</f>
        <v>-14.665994403433</v>
      </c>
      <c r="AL30" s="34">
        <f t="shared" si="21"/>
        <v>230</v>
      </c>
      <c r="AM30" s="112">
        <f t="shared" si="19"/>
        <v>0.53380601529829252</v>
      </c>
    </row>
    <row r="31" spans="2:39" x14ac:dyDescent="0.25">
      <c r="B31" s="60"/>
      <c r="C31" s="65"/>
      <c r="D31" s="60"/>
      <c r="E31" s="60"/>
      <c r="J31" t="s">
        <v>318</v>
      </c>
      <c r="K31" s="107">
        <f t="array" ref="K31:L32">MINVERSE(K26:L27)</f>
        <v>3.3265564139763892</v>
      </c>
      <c r="L31" s="107">
        <v>-20.034126932072517</v>
      </c>
      <c r="M31"/>
      <c r="N31"/>
      <c r="O31"/>
      <c r="P31"/>
      <c r="Q31"/>
      <c r="R31"/>
      <c r="S31"/>
      <c r="T31"/>
      <c r="U31"/>
      <c r="Y31" s="107">
        <f>AF14</f>
        <v>31.984627878021993</v>
      </c>
      <c r="Z31" s="107">
        <f>Z14</f>
        <v>6</v>
      </c>
      <c r="AB31" s="107">
        <f>AE14</f>
        <v>-3.0683055582143735</v>
      </c>
      <c r="AC31" s="16"/>
      <c r="AL31" s="34">
        <f t="shared" si="21"/>
        <v>240</v>
      </c>
      <c r="AM31" s="112">
        <f t="shared" si="19"/>
        <v>0.52770857855132436</v>
      </c>
    </row>
    <row r="32" spans="2:39" x14ac:dyDescent="0.25">
      <c r="B32" s="60"/>
      <c r="C32" s="60"/>
      <c r="D32" s="61"/>
      <c r="E32" s="60"/>
      <c r="K32" s="107">
        <v>-20.034126932072517</v>
      </c>
      <c r="L32" s="107">
        <v>121.15517369375422</v>
      </c>
      <c r="M32"/>
      <c r="N32"/>
      <c r="O32"/>
      <c r="P32"/>
      <c r="Q32"/>
      <c r="R32"/>
      <c r="S32"/>
      <c r="T32"/>
      <c r="U32"/>
      <c r="AC32" s="16"/>
      <c r="AL32" s="34">
        <f t="shared" si="21"/>
        <v>250</v>
      </c>
      <c r="AM32" s="112">
        <f t="shared" si="19"/>
        <v>0.52182246645257035</v>
      </c>
    </row>
    <row r="33" spans="2:39" x14ac:dyDescent="0.25">
      <c r="B33" s="60"/>
      <c r="C33" s="60"/>
      <c r="D33" s="60"/>
      <c r="E33" s="60"/>
      <c r="M33"/>
      <c r="N33"/>
      <c r="O33"/>
      <c r="P33"/>
      <c r="Q33"/>
      <c r="R33"/>
      <c r="S33"/>
      <c r="T33"/>
      <c r="U33"/>
      <c r="X33" t="s">
        <v>322</v>
      </c>
      <c r="AC33" s="16"/>
      <c r="AL33" s="34">
        <f t="shared" si="21"/>
        <v>260</v>
      </c>
      <c r="AM33" s="112">
        <f t="shared" si="19"/>
        <v>0.51613341523209533</v>
      </c>
    </row>
    <row r="34" spans="2:39" x14ac:dyDescent="0.25">
      <c r="B34" s="60"/>
      <c r="C34" s="60"/>
      <c r="D34" s="60"/>
      <c r="E34" s="60"/>
      <c r="J34" t="s">
        <v>323</v>
      </c>
      <c r="M34"/>
      <c r="N34"/>
      <c r="O34"/>
      <c r="P34"/>
      <c r="Q34"/>
      <c r="R34"/>
      <c r="S34"/>
      <c r="T34"/>
      <c r="U34"/>
      <c r="AC34" s="16"/>
      <c r="AL34" s="34">
        <f t="shared" si="21"/>
        <v>270</v>
      </c>
      <c r="AM34" s="112">
        <f t="shared" si="19"/>
        <v>0.51062860634614804</v>
      </c>
    </row>
    <row r="35" spans="2:39" x14ac:dyDescent="0.25">
      <c r="B35" s="60"/>
      <c r="C35" s="60"/>
      <c r="D35" s="60"/>
      <c r="E35" s="60"/>
      <c r="M35"/>
      <c r="N35"/>
      <c r="O35"/>
      <c r="P35"/>
      <c r="Q35"/>
      <c r="R35"/>
      <c r="S35"/>
      <c r="T35"/>
      <c r="U35"/>
      <c r="X35" t="s">
        <v>318</v>
      </c>
      <c r="Y35" s="107">
        <f t="array" ref="Y35:Z36">MINVERSE(Y30:Z31)</f>
        <v>0.25208465024859983</v>
      </c>
      <c r="Z35" s="107">
        <v>-1.3438056219937984</v>
      </c>
      <c r="AL35" s="34">
        <f>AL34+10</f>
        <v>280</v>
      </c>
      <c r="AM35" s="112">
        <f t="shared" si="19"/>
        <v>0.50529647343559314</v>
      </c>
    </row>
    <row r="36" spans="2:39" x14ac:dyDescent="0.25">
      <c r="B36" s="60"/>
      <c r="C36" s="60"/>
      <c r="D36" s="60"/>
      <c r="E36" s="60"/>
      <c r="J36" t="s">
        <v>318</v>
      </c>
      <c r="K36" s="107">
        <f t="array" ref="K36:K37">MMULT(K31:L32,N26:N27)</f>
        <v>1.7671481043571085</v>
      </c>
      <c r="M36"/>
      <c r="N36"/>
      <c r="O36"/>
      <c r="P36"/>
      <c r="Q36"/>
      <c r="R36"/>
      <c r="S36"/>
      <c r="T36"/>
      <c r="U36"/>
      <c r="Y36" s="107">
        <v>-1.3438056219937982</v>
      </c>
      <c r="Z36" s="107">
        <v>7.3301871266442546</v>
      </c>
      <c r="AL36" s="34">
        <f t="shared" ref="AL36:AL38" si="23">AL35+10</f>
        <v>290</v>
      </c>
      <c r="AM36" s="112">
        <f t="shared" si="19"/>
        <v>0.50012654091443165</v>
      </c>
    </row>
    <row r="37" spans="2:39" x14ac:dyDescent="0.25">
      <c r="B37" s="60"/>
      <c r="C37" s="60"/>
      <c r="D37" s="60"/>
      <c r="E37" s="60"/>
      <c r="K37" s="107">
        <v>-11.080139012569774</v>
      </c>
      <c r="M37"/>
      <c r="N37"/>
      <c r="O37"/>
      <c r="P37"/>
      <c r="Q37"/>
      <c r="R37"/>
      <c r="S37"/>
      <c r="T37"/>
      <c r="U37"/>
      <c r="AL37" s="34">
        <f t="shared" si="23"/>
        <v>300</v>
      </c>
      <c r="AM37" s="112">
        <f t="shared" si="19"/>
        <v>0.49510928810907345</v>
      </c>
    </row>
    <row r="38" spans="2:39" x14ac:dyDescent="0.25">
      <c r="B38" s="60"/>
      <c r="C38" s="60"/>
      <c r="D38" s="60"/>
      <c r="E38" s="60"/>
      <c r="M38"/>
      <c r="N38"/>
      <c r="O38"/>
      <c r="P38"/>
      <c r="Q38"/>
      <c r="R38"/>
      <c r="S38"/>
      <c r="T38"/>
      <c r="U38"/>
      <c r="X38" t="s">
        <v>323</v>
      </c>
      <c r="AL38" s="34">
        <f t="shared" si="23"/>
        <v>310</v>
      </c>
      <c r="AM38" s="112">
        <f t="shared" si="19"/>
        <v>0.49023603419890555</v>
      </c>
    </row>
    <row r="39" spans="2:39" x14ac:dyDescent="0.25">
      <c r="B39" s="60"/>
      <c r="C39" s="60"/>
      <c r="D39" s="60"/>
      <c r="E39" s="60"/>
      <c r="J39" s="2" t="s">
        <v>320</v>
      </c>
      <c r="K39" s="109">
        <f>EXP(-K37/K36)</f>
        <v>528.51338500083045</v>
      </c>
      <c r="M39"/>
      <c r="N39"/>
      <c r="O39"/>
      <c r="P39"/>
      <c r="Q39"/>
      <c r="R39"/>
      <c r="S39"/>
      <c r="T39"/>
      <c r="U39"/>
    </row>
    <row r="40" spans="2:39" x14ac:dyDescent="0.25">
      <c r="B40" s="60"/>
      <c r="C40" s="60"/>
      <c r="D40" s="60"/>
      <c r="E40" s="60"/>
      <c r="J40" s="2" t="s">
        <v>321</v>
      </c>
      <c r="K40" s="109">
        <f>K36</f>
        <v>1.7671481043571085</v>
      </c>
      <c r="M40"/>
      <c r="N40"/>
      <c r="O40"/>
      <c r="P40"/>
      <c r="Q40"/>
      <c r="R40"/>
      <c r="S40"/>
      <c r="T40"/>
      <c r="U40"/>
      <c r="X40" t="s">
        <v>318</v>
      </c>
      <c r="Y40" s="107">
        <f t="array" ref="Y40:Y41">MMULT(Y35:Z36,AB30:AB31)</f>
        <v>0.42613418938596448</v>
      </c>
      <c r="AL40" s="16" t="s">
        <v>324</v>
      </c>
    </row>
    <row r="41" spans="2:39" x14ac:dyDescent="0.25">
      <c r="B41" s="60"/>
      <c r="C41" s="60"/>
      <c r="D41" s="60"/>
      <c r="E41" s="60"/>
      <c r="M41"/>
      <c r="N41"/>
      <c r="O41"/>
      <c r="P41"/>
      <c r="Q41"/>
      <c r="R41"/>
      <c r="S41"/>
      <c r="T41"/>
      <c r="U41"/>
      <c r="Y41" s="107">
        <v>-2.7830081719711686</v>
      </c>
    </row>
    <row r="42" spans="2:39" x14ac:dyDescent="0.25">
      <c r="B42" s="60"/>
      <c r="C42" s="60"/>
      <c r="D42" s="60"/>
      <c r="E42" s="60"/>
      <c r="M42"/>
      <c r="N42"/>
      <c r="O42"/>
      <c r="P42"/>
      <c r="Q42"/>
      <c r="R42"/>
      <c r="S42"/>
      <c r="T42"/>
      <c r="U42"/>
    </row>
    <row r="43" spans="2:39" x14ac:dyDescent="0.25">
      <c r="B43" s="60"/>
      <c r="C43" s="60"/>
      <c r="D43" s="60"/>
      <c r="E43" s="60"/>
      <c r="M43"/>
      <c r="N43"/>
      <c r="O43"/>
      <c r="P43"/>
      <c r="Q43"/>
      <c r="R43"/>
      <c r="S43"/>
      <c r="T43"/>
      <c r="U43"/>
      <c r="X43" s="2" t="s">
        <v>320</v>
      </c>
      <c r="Y43" s="109">
        <f>EXP(-Y41/Y40)</f>
        <v>685.96446910201769</v>
      </c>
    </row>
    <row r="44" spans="2:39" x14ac:dyDescent="0.25">
      <c r="B44" s="60"/>
      <c r="C44" s="60"/>
      <c r="D44" s="60"/>
      <c r="E44" s="60"/>
      <c r="M44"/>
      <c r="N44"/>
      <c r="O44"/>
      <c r="P44"/>
      <c r="Q44"/>
      <c r="R44"/>
      <c r="S44"/>
      <c r="T44"/>
      <c r="U44"/>
      <c r="X44" s="2" t="s">
        <v>321</v>
      </c>
      <c r="Y44" s="109">
        <f>Y40</f>
        <v>0.42613418938596448</v>
      </c>
    </row>
    <row r="45" spans="2:39" x14ac:dyDescent="0.25">
      <c r="B45" s="60"/>
      <c r="C45" s="60"/>
      <c r="D45" s="60"/>
      <c r="E45" s="60"/>
      <c r="M45"/>
      <c r="N45"/>
      <c r="O45"/>
      <c r="P45"/>
      <c r="Q45"/>
      <c r="R45"/>
      <c r="S45"/>
      <c r="T45"/>
      <c r="U45"/>
    </row>
    <row r="46" spans="2:39" x14ac:dyDescent="0.25">
      <c r="B46" s="60"/>
      <c r="C46" s="60"/>
      <c r="D46" s="60"/>
      <c r="E46" s="60"/>
      <c r="M46"/>
      <c r="N46"/>
      <c r="O46"/>
      <c r="P46"/>
      <c r="Q46"/>
      <c r="R46"/>
      <c r="S46"/>
      <c r="T46"/>
      <c r="U46"/>
    </row>
    <row r="47" spans="2:39" x14ac:dyDescent="0.25">
      <c r="B47" s="60"/>
      <c r="C47" s="60"/>
      <c r="D47" s="60"/>
      <c r="E47" s="60"/>
      <c r="M47"/>
      <c r="N47"/>
      <c r="O47"/>
      <c r="P47"/>
      <c r="Q47"/>
      <c r="R47"/>
      <c r="S47"/>
      <c r="T47"/>
      <c r="U47"/>
      <c r="AL47" s="16"/>
    </row>
    <row r="48" spans="2:39" x14ac:dyDescent="0.25">
      <c r="B48" s="60"/>
      <c r="C48" s="60"/>
      <c r="D48" s="60"/>
      <c r="E48" s="60"/>
      <c r="AL48" s="16"/>
    </row>
    <row r="49" spans="2:38" x14ac:dyDescent="0.25">
      <c r="B49" s="60"/>
      <c r="C49" s="60"/>
      <c r="D49" s="60"/>
      <c r="E49" s="60"/>
      <c r="AL49" s="16"/>
    </row>
    <row r="50" spans="2:38" x14ac:dyDescent="0.25">
      <c r="B50" s="60"/>
      <c r="C50" s="60"/>
      <c r="D50" s="60"/>
      <c r="E50" s="60"/>
      <c r="AL50" s="16"/>
    </row>
    <row r="51" spans="2:38" x14ac:dyDescent="0.25">
      <c r="B51" s="60"/>
      <c r="C51" s="60"/>
      <c r="D51" s="60"/>
      <c r="E51" s="60"/>
      <c r="AL51" s="16"/>
    </row>
    <row r="52" spans="2:38" x14ac:dyDescent="0.25">
      <c r="AL52" s="16"/>
    </row>
    <row r="53" spans="2:38" x14ac:dyDescent="0.25">
      <c r="AL53" s="17"/>
    </row>
    <row r="54" spans="2:38" x14ac:dyDescent="0.25">
      <c r="AL54" s="16"/>
    </row>
    <row r="55" spans="2:38" x14ac:dyDescent="0.25">
      <c r="AL55" s="16"/>
    </row>
    <row r="56" spans="2:38" x14ac:dyDescent="0.25">
      <c r="AL56" s="16"/>
    </row>
    <row r="57" spans="2:38" x14ac:dyDescent="0.25">
      <c r="AL57" s="16"/>
    </row>
    <row r="58" spans="2:38" x14ac:dyDescent="0.25">
      <c r="AL58" s="16"/>
    </row>
    <row r="59" spans="2:38" x14ac:dyDescent="0.25">
      <c r="AL59" s="16"/>
    </row>
    <row r="60" spans="2:38" x14ac:dyDescent="0.25">
      <c r="AL60" s="16"/>
    </row>
    <row r="61" spans="2:38" x14ac:dyDescent="0.25">
      <c r="AL61" s="16"/>
    </row>
    <row r="62" spans="2:38" x14ac:dyDescent="0.25">
      <c r="AL62" s="16"/>
    </row>
    <row r="63" spans="2:38" x14ac:dyDescent="0.25">
      <c r="AL63" s="16"/>
    </row>
    <row r="64" spans="2:38" x14ac:dyDescent="0.25">
      <c r="AL64" s="16"/>
    </row>
    <row r="65" spans="38:38" x14ac:dyDescent="0.25">
      <c r="AL65" s="16"/>
    </row>
    <row r="66" spans="38:38" x14ac:dyDescent="0.25">
      <c r="AL66" s="16"/>
    </row>
    <row r="67" spans="38:38" x14ac:dyDescent="0.25">
      <c r="AL67" s="16"/>
    </row>
    <row r="68" spans="38:38" x14ac:dyDescent="0.25">
      <c r="AL68" s="16"/>
    </row>
    <row r="69" spans="38:38" x14ac:dyDescent="0.25">
      <c r="AL69" s="16"/>
    </row>
    <row r="70" spans="38:38" x14ac:dyDescent="0.25">
      <c r="AL70" s="16"/>
    </row>
    <row r="71" spans="38:38" x14ac:dyDescent="0.25">
      <c r="AL71" s="16"/>
    </row>
    <row r="72" spans="38:38" x14ac:dyDescent="0.25">
      <c r="AL72" s="16"/>
    </row>
    <row r="73" spans="38:38" x14ac:dyDescent="0.25">
      <c r="AL73" s="16"/>
    </row>
    <row r="74" spans="38:38" x14ac:dyDescent="0.25">
      <c r="AL74" s="16"/>
    </row>
    <row r="75" spans="38:38" x14ac:dyDescent="0.25">
      <c r="AL75" s="16"/>
    </row>
    <row r="76" spans="38:38" x14ac:dyDescent="0.25">
      <c r="AL76" s="16"/>
    </row>
    <row r="77" spans="38:38" x14ac:dyDescent="0.25">
      <c r="AL77" s="16"/>
    </row>
    <row r="78" spans="38:38" x14ac:dyDescent="0.25">
      <c r="AL78" s="16"/>
    </row>
    <row r="79" spans="38:38" x14ac:dyDescent="0.25">
      <c r="AL79" s="16"/>
    </row>
    <row r="80" spans="38:38" x14ac:dyDescent="0.25">
      <c r="AL80" s="17"/>
    </row>
    <row r="81" spans="38:38" x14ac:dyDescent="0.25">
      <c r="AL81" s="17"/>
    </row>
    <row r="82" spans="38:38" x14ac:dyDescent="0.25">
      <c r="AL82" s="16"/>
    </row>
    <row r="83" spans="38:38" x14ac:dyDescent="0.25">
      <c r="AL83" s="16"/>
    </row>
    <row r="84" spans="38:38" x14ac:dyDescent="0.25">
      <c r="AL84" s="16"/>
    </row>
    <row r="85" spans="38:38" x14ac:dyDescent="0.25">
      <c r="AL85" s="16"/>
    </row>
  </sheetData>
  <sheetProtection sheet="1" objects="1" scenarios="1"/>
  <mergeCells count="5">
    <mergeCell ref="J4:L4"/>
    <mergeCell ref="B2:H3"/>
    <mergeCell ref="J3:L3"/>
    <mergeCell ref="X4:AI4"/>
    <mergeCell ref="X3:AI3"/>
  </mergeCells>
  <pageMargins left="0.7" right="0.7" top="0.75" bottom="0.75" header="0.3" footer="0.3"/>
  <pageSetup paperSize="9"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2:P51"/>
  <sheetViews>
    <sheetView zoomScale="85" zoomScaleNormal="85" workbookViewId="0"/>
  </sheetViews>
  <sheetFormatPr defaultRowHeight="15" x14ac:dyDescent="0.25"/>
  <cols>
    <col min="1" max="1" width="3" customWidth="1"/>
    <col min="2" max="3" width="10.42578125" bestFit="1" customWidth="1"/>
    <col min="4" max="4" width="21.42578125" bestFit="1" customWidth="1"/>
    <col min="5" max="5" width="13.42578125" bestFit="1" customWidth="1"/>
    <col min="7" max="7" width="19.28515625" bestFit="1" customWidth="1"/>
    <col min="8" max="8" width="19.140625" bestFit="1" customWidth="1"/>
    <col min="9" max="9" width="18.140625" bestFit="1" customWidth="1"/>
  </cols>
  <sheetData>
    <row r="2" spans="2:16" ht="15" customHeight="1" x14ac:dyDescent="0.25">
      <c r="B2" s="143" t="s">
        <v>387</v>
      </c>
      <c r="C2" s="144"/>
      <c r="D2" s="144"/>
      <c r="E2" s="144"/>
      <c r="F2" s="144"/>
      <c r="G2" s="144"/>
      <c r="H2" s="144"/>
      <c r="I2" s="144"/>
    </row>
    <row r="3" spans="2:16" x14ac:dyDescent="0.25">
      <c r="B3" s="127"/>
      <c r="C3" s="128"/>
      <c r="D3" s="128"/>
      <c r="E3" s="128"/>
      <c r="F3" s="128"/>
      <c r="G3" s="128"/>
      <c r="H3" s="128"/>
      <c r="I3" s="128"/>
      <c r="K3" s="130" t="s">
        <v>292</v>
      </c>
      <c r="L3" s="130"/>
      <c r="M3" s="130"/>
      <c r="N3" s="130" t="s">
        <v>292</v>
      </c>
      <c r="O3" s="130"/>
      <c r="P3" s="130"/>
    </row>
    <row r="4" spans="2:16" x14ac:dyDescent="0.25">
      <c r="B4" s="7" t="s">
        <v>165</v>
      </c>
      <c r="C4" s="7" t="s">
        <v>5</v>
      </c>
      <c r="D4" s="7" t="s">
        <v>197</v>
      </c>
      <c r="E4" s="7" t="s">
        <v>301</v>
      </c>
      <c r="F4" s="7" t="s">
        <v>185</v>
      </c>
      <c r="G4" s="7" t="s">
        <v>278</v>
      </c>
      <c r="H4" s="7" t="s">
        <v>282</v>
      </c>
      <c r="I4" s="7" t="s">
        <v>280</v>
      </c>
      <c r="K4" s="131" t="s">
        <v>395</v>
      </c>
      <c r="L4" s="131"/>
      <c r="M4" s="131"/>
      <c r="N4" s="131" t="s">
        <v>398</v>
      </c>
      <c r="O4" s="131"/>
      <c r="P4" s="131"/>
    </row>
    <row r="5" spans="2:16" x14ac:dyDescent="0.25">
      <c r="B5" s="8"/>
      <c r="C5" s="9"/>
      <c r="D5" s="9"/>
      <c r="E5" s="9" t="s">
        <v>303</v>
      </c>
      <c r="F5" s="9" t="s">
        <v>187</v>
      </c>
      <c r="G5" s="9" t="s">
        <v>199</v>
      </c>
      <c r="H5" s="9" t="s">
        <v>281</v>
      </c>
      <c r="I5" s="9" t="s">
        <v>283</v>
      </c>
      <c r="K5" s="96" t="s">
        <v>286</v>
      </c>
      <c r="L5" s="96" t="s">
        <v>284</v>
      </c>
      <c r="M5" s="96" t="s">
        <v>287</v>
      </c>
      <c r="N5" s="96" t="s">
        <v>286</v>
      </c>
      <c r="O5" s="96" t="s">
        <v>284</v>
      </c>
      <c r="P5" s="96" t="s">
        <v>287</v>
      </c>
    </row>
    <row r="6" spans="2:16" x14ac:dyDescent="0.25">
      <c r="B6" s="6">
        <f>DAYS360("31-12-2009",C6)</f>
        <v>1477</v>
      </c>
      <c r="C6" s="5">
        <v>41677</v>
      </c>
      <c r="D6" s="6" t="s">
        <v>390</v>
      </c>
      <c r="E6" s="6" t="s">
        <v>296</v>
      </c>
      <c r="F6" s="6">
        <v>180</v>
      </c>
      <c r="G6" s="79" t="s">
        <v>279</v>
      </c>
      <c r="H6" s="79" t="s">
        <v>279</v>
      </c>
      <c r="I6" s="79" t="s">
        <v>279</v>
      </c>
      <c r="K6" s="83" t="s">
        <v>293</v>
      </c>
      <c r="L6" s="83" t="s">
        <v>293</v>
      </c>
      <c r="M6" s="83" t="s">
        <v>293</v>
      </c>
      <c r="N6" s="83" t="s">
        <v>293</v>
      </c>
      <c r="O6" s="83" t="s">
        <v>293</v>
      </c>
      <c r="P6" s="83" t="s">
        <v>293</v>
      </c>
    </row>
    <row r="7" spans="2:16" x14ac:dyDescent="0.25">
      <c r="B7" s="6">
        <f t="shared" ref="B7:B16" si="0">DAYS360("31-12-2009",C7)</f>
        <v>1107</v>
      </c>
      <c r="C7" s="5">
        <v>41301</v>
      </c>
      <c r="D7" s="6" t="s">
        <v>393</v>
      </c>
      <c r="E7" s="6" t="s">
        <v>297</v>
      </c>
      <c r="F7" s="33">
        <v>60</v>
      </c>
      <c r="G7" s="79" t="s">
        <v>279</v>
      </c>
      <c r="H7" s="79" t="s">
        <v>279</v>
      </c>
      <c r="I7" s="79" t="s">
        <v>279</v>
      </c>
      <c r="K7" s="6">
        <v>280</v>
      </c>
      <c r="L7" s="6">
        <v>1</v>
      </c>
      <c r="M7" s="83">
        <f>($M$10-L7+0.625)/($M$10+0.25)</f>
        <v>0.72222222222222221</v>
      </c>
      <c r="N7" s="6">
        <v>371</v>
      </c>
      <c r="O7" s="6">
        <v>1</v>
      </c>
      <c r="P7" s="83">
        <f>($P$14-O7+0.625)/($P$14+0.25)</f>
        <v>0.9</v>
      </c>
    </row>
    <row r="8" spans="2:16" x14ac:dyDescent="0.25">
      <c r="B8" s="6">
        <f t="shared" si="0"/>
        <v>472</v>
      </c>
      <c r="C8" s="5">
        <v>40655</v>
      </c>
      <c r="D8" s="6" t="s">
        <v>396</v>
      </c>
      <c r="E8" s="6" t="s">
        <v>297</v>
      </c>
      <c r="F8" s="33">
        <v>360</v>
      </c>
      <c r="G8" s="79" t="s">
        <v>279</v>
      </c>
      <c r="H8" s="79" t="s">
        <v>279</v>
      </c>
      <c r="I8" s="79" t="s">
        <v>279</v>
      </c>
      <c r="K8" s="6">
        <v>608</v>
      </c>
      <c r="L8" s="6">
        <v>2</v>
      </c>
      <c r="M8" s="83">
        <f>($M$10-L8+0.625)/($M$10+0.25)</f>
        <v>0.27777777777777779</v>
      </c>
      <c r="N8" s="6">
        <v>65</v>
      </c>
      <c r="O8" s="6">
        <v>2</v>
      </c>
      <c r="P8" s="83">
        <f t="shared" ref="P8:P12" si="1">($P$14-O8+0.625)/($P$14+0.25)</f>
        <v>0.74</v>
      </c>
    </row>
    <row r="9" spans="2:16" x14ac:dyDescent="0.25">
      <c r="B9" s="6">
        <f t="shared" si="0"/>
        <v>747</v>
      </c>
      <c r="C9" s="5">
        <v>40935</v>
      </c>
      <c r="D9" s="6" t="s">
        <v>396</v>
      </c>
      <c r="E9" s="6" t="s">
        <v>296</v>
      </c>
      <c r="F9" s="33">
        <v>60</v>
      </c>
      <c r="G9" s="6">
        <f>C9-C8</f>
        <v>280</v>
      </c>
      <c r="H9" s="6">
        <v>280</v>
      </c>
      <c r="I9" s="6">
        <v>280</v>
      </c>
      <c r="N9" s="6">
        <v>102</v>
      </c>
      <c r="O9" s="6">
        <v>3</v>
      </c>
      <c r="P9" s="83">
        <f t="shared" si="1"/>
        <v>0.57999999999999996</v>
      </c>
    </row>
    <row r="10" spans="2:16" x14ac:dyDescent="0.25">
      <c r="B10" s="6">
        <f t="shared" si="0"/>
        <v>1346</v>
      </c>
      <c r="C10" s="5">
        <v>41543</v>
      </c>
      <c r="D10" s="6" t="s">
        <v>396</v>
      </c>
      <c r="E10" s="6" t="s">
        <v>296</v>
      </c>
      <c r="F10" s="33">
        <v>30</v>
      </c>
      <c r="G10" s="6">
        <f>C10-C9</f>
        <v>608</v>
      </c>
      <c r="H10" s="6">
        <v>608</v>
      </c>
      <c r="I10" s="6">
        <v>608</v>
      </c>
      <c r="L10" s="80" t="s">
        <v>285</v>
      </c>
      <c r="M10" s="81">
        <f>COUNT(L7:L8)</f>
        <v>2</v>
      </c>
      <c r="N10" s="6">
        <v>143</v>
      </c>
      <c r="O10" s="6">
        <v>4</v>
      </c>
      <c r="P10" s="83">
        <f t="shared" si="1"/>
        <v>0.42</v>
      </c>
    </row>
    <row r="11" spans="2:16" x14ac:dyDescent="0.25">
      <c r="B11" s="6">
        <f t="shared" si="0"/>
        <v>737</v>
      </c>
      <c r="C11" s="5">
        <v>40925</v>
      </c>
      <c r="D11" s="6" t="s">
        <v>399</v>
      </c>
      <c r="E11" s="6" t="s">
        <v>297</v>
      </c>
      <c r="F11" s="33">
        <v>120</v>
      </c>
      <c r="G11" s="79" t="s">
        <v>279</v>
      </c>
      <c r="H11" s="79" t="s">
        <v>279</v>
      </c>
      <c r="I11" s="79" t="s">
        <v>279</v>
      </c>
      <c r="N11" s="6">
        <v>319</v>
      </c>
      <c r="O11" s="6">
        <v>5</v>
      </c>
      <c r="P11" s="83">
        <f t="shared" si="1"/>
        <v>0.26</v>
      </c>
    </row>
    <row r="12" spans="2:16" x14ac:dyDescent="0.25">
      <c r="B12" s="6">
        <f t="shared" si="0"/>
        <v>838</v>
      </c>
      <c r="C12" s="5">
        <v>41027</v>
      </c>
      <c r="D12" s="6" t="s">
        <v>399</v>
      </c>
      <c r="E12" s="6" t="s">
        <v>297</v>
      </c>
      <c r="F12" s="33">
        <v>120</v>
      </c>
      <c r="G12" s="6">
        <f>C12-C11</f>
        <v>102</v>
      </c>
      <c r="H12" s="6">
        <v>102</v>
      </c>
      <c r="I12" s="6">
        <v>65</v>
      </c>
      <c r="N12" s="6">
        <v>693</v>
      </c>
      <c r="O12" s="6">
        <v>6</v>
      </c>
      <c r="P12" s="83">
        <f t="shared" si="1"/>
        <v>0.1</v>
      </c>
    </row>
    <row r="13" spans="2:16" x14ac:dyDescent="0.25">
      <c r="B13" s="6">
        <f t="shared" si="0"/>
        <v>1153</v>
      </c>
      <c r="C13" s="5">
        <v>41346</v>
      </c>
      <c r="D13" s="6" t="s">
        <v>399</v>
      </c>
      <c r="E13" s="6" t="s">
        <v>296</v>
      </c>
      <c r="F13" s="33">
        <v>120</v>
      </c>
      <c r="G13" s="6">
        <f t="shared" ref="G13:G16" si="2">C13-C12</f>
        <v>319</v>
      </c>
      <c r="H13" s="6">
        <v>319</v>
      </c>
      <c r="I13" s="6">
        <v>102</v>
      </c>
    </row>
    <row r="14" spans="2:16" x14ac:dyDescent="0.25">
      <c r="B14" s="6">
        <f t="shared" si="0"/>
        <v>1217</v>
      </c>
      <c r="C14" s="5">
        <v>41411</v>
      </c>
      <c r="D14" s="6" t="s">
        <v>399</v>
      </c>
      <c r="E14" s="6" t="s">
        <v>297</v>
      </c>
      <c r="F14" s="33">
        <f>26*60</f>
        <v>1560</v>
      </c>
      <c r="G14" s="6">
        <f t="shared" si="2"/>
        <v>65</v>
      </c>
      <c r="H14" s="6">
        <v>65</v>
      </c>
      <c r="I14" s="6">
        <v>143</v>
      </c>
      <c r="K14" t="s">
        <v>294</v>
      </c>
      <c r="O14" s="80" t="s">
        <v>285</v>
      </c>
      <c r="P14" s="81">
        <f>COUNT(O7:O12)</f>
        <v>6</v>
      </c>
    </row>
    <row r="15" spans="2:16" x14ac:dyDescent="0.25">
      <c r="B15" s="6">
        <f t="shared" si="0"/>
        <v>1357</v>
      </c>
      <c r="C15" s="5">
        <v>41554</v>
      </c>
      <c r="D15" s="6" t="s">
        <v>399</v>
      </c>
      <c r="E15" s="6" t="s">
        <v>296</v>
      </c>
      <c r="F15" s="33">
        <v>60</v>
      </c>
      <c r="G15" s="6">
        <f t="shared" si="2"/>
        <v>143</v>
      </c>
      <c r="H15" s="6">
        <v>143</v>
      </c>
      <c r="I15" s="6">
        <v>319</v>
      </c>
    </row>
    <row r="16" spans="2:16" x14ac:dyDescent="0.25">
      <c r="B16" s="6">
        <f t="shared" si="0"/>
        <v>2040</v>
      </c>
      <c r="C16" s="5">
        <v>42247</v>
      </c>
      <c r="D16" s="6" t="s">
        <v>399</v>
      </c>
      <c r="E16" s="6" t="s">
        <v>297</v>
      </c>
      <c r="F16" s="30">
        <v>7200</v>
      </c>
      <c r="G16" s="6">
        <f t="shared" si="2"/>
        <v>693</v>
      </c>
      <c r="H16" s="6">
        <v>693</v>
      </c>
      <c r="I16" s="6">
        <v>693</v>
      </c>
      <c r="K16" t="s">
        <v>288</v>
      </c>
    </row>
    <row r="17" spans="2:11" x14ac:dyDescent="0.25">
      <c r="B17" s="60"/>
      <c r="C17" s="60"/>
      <c r="D17" s="61"/>
      <c r="E17" s="61"/>
      <c r="F17" s="60"/>
    </row>
    <row r="18" spans="2:11" x14ac:dyDescent="0.25">
      <c r="B18" s="132" t="s">
        <v>295</v>
      </c>
      <c r="C18" s="133"/>
      <c r="D18" s="134"/>
      <c r="E18" s="60"/>
      <c r="F18" s="60"/>
      <c r="K18" t="s">
        <v>289</v>
      </c>
    </row>
    <row r="19" spans="2:11" x14ac:dyDescent="0.25">
      <c r="B19" s="98" t="s">
        <v>296</v>
      </c>
      <c r="C19" s="135" t="s">
        <v>299</v>
      </c>
      <c r="D19" s="135"/>
      <c r="E19" s="60"/>
      <c r="F19" s="60"/>
    </row>
    <row r="20" spans="2:11" x14ac:dyDescent="0.25">
      <c r="B20" s="98" t="s">
        <v>297</v>
      </c>
      <c r="C20" s="135" t="s">
        <v>300</v>
      </c>
      <c r="D20" s="135"/>
      <c r="E20" s="60"/>
      <c r="F20" s="60"/>
      <c r="K20" t="s">
        <v>290</v>
      </c>
    </row>
    <row r="21" spans="2:11" x14ac:dyDescent="0.25">
      <c r="B21" s="98" t="s">
        <v>298</v>
      </c>
      <c r="C21" s="135" t="s">
        <v>302</v>
      </c>
      <c r="D21" s="135"/>
      <c r="E21" s="60"/>
      <c r="F21" s="60"/>
      <c r="K21" t="s">
        <v>291</v>
      </c>
    </row>
    <row r="22" spans="2:11" x14ac:dyDescent="0.25">
      <c r="B22" s="60"/>
      <c r="C22" s="65"/>
      <c r="D22" s="60"/>
      <c r="E22" s="60"/>
      <c r="F22" s="60"/>
    </row>
    <row r="23" spans="2:11" x14ac:dyDescent="0.25">
      <c r="B23" s="60"/>
      <c r="C23" s="60"/>
      <c r="D23" s="61"/>
      <c r="E23" s="61"/>
      <c r="F23" s="60"/>
    </row>
    <row r="24" spans="2:11" x14ac:dyDescent="0.25">
      <c r="B24" s="60"/>
      <c r="C24" s="60"/>
      <c r="D24" s="60"/>
      <c r="E24" s="60"/>
      <c r="F24" s="60"/>
    </row>
    <row r="25" spans="2:11" x14ac:dyDescent="0.25">
      <c r="B25" s="60"/>
      <c r="C25" s="60"/>
      <c r="D25" s="60"/>
      <c r="E25" s="60"/>
      <c r="F25" s="60"/>
    </row>
    <row r="26" spans="2:11" x14ac:dyDescent="0.25">
      <c r="B26" s="60"/>
      <c r="C26" s="60"/>
      <c r="D26" s="60"/>
      <c r="E26" s="60"/>
      <c r="F26" s="60"/>
    </row>
    <row r="27" spans="2:11" x14ac:dyDescent="0.25">
      <c r="B27" s="60"/>
      <c r="C27" s="60"/>
      <c r="D27" s="60"/>
      <c r="E27" s="60"/>
      <c r="F27" s="60"/>
    </row>
    <row r="28" spans="2:11" x14ac:dyDescent="0.25">
      <c r="B28" s="60"/>
      <c r="C28" s="60"/>
      <c r="D28" s="60"/>
      <c r="E28" s="60"/>
      <c r="F28" s="60"/>
    </row>
    <row r="29" spans="2:11" x14ac:dyDescent="0.25">
      <c r="B29" s="60"/>
      <c r="C29" s="60"/>
      <c r="D29" s="60"/>
      <c r="E29" s="60"/>
      <c r="F29" s="60"/>
    </row>
    <row r="30" spans="2:11" x14ac:dyDescent="0.25">
      <c r="B30" s="60"/>
      <c r="C30" s="60"/>
      <c r="D30" s="60"/>
      <c r="E30" s="60"/>
      <c r="F30" s="60"/>
    </row>
    <row r="31" spans="2:11" x14ac:dyDescent="0.25">
      <c r="B31" s="60"/>
      <c r="C31" s="65"/>
      <c r="D31" s="60"/>
      <c r="E31" s="60"/>
      <c r="F31" s="60"/>
    </row>
    <row r="32" spans="2:11" x14ac:dyDescent="0.25">
      <c r="B32" s="60"/>
      <c r="C32" s="60"/>
      <c r="D32" s="61"/>
      <c r="E32" s="61"/>
      <c r="F32" s="60"/>
    </row>
    <row r="33" spans="2:6" x14ac:dyDescent="0.25">
      <c r="B33" s="60"/>
      <c r="C33" s="60"/>
      <c r="D33" s="60"/>
      <c r="E33" s="60"/>
      <c r="F33" s="60"/>
    </row>
    <row r="34" spans="2:6" x14ac:dyDescent="0.25">
      <c r="B34" s="60"/>
      <c r="C34" s="60"/>
      <c r="D34" s="60"/>
      <c r="E34" s="60"/>
      <c r="F34" s="60"/>
    </row>
    <row r="35" spans="2:6" x14ac:dyDescent="0.25">
      <c r="B35" s="60"/>
      <c r="C35" s="60"/>
      <c r="D35" s="60"/>
      <c r="E35" s="60"/>
      <c r="F35" s="60"/>
    </row>
    <row r="36" spans="2:6" x14ac:dyDescent="0.25">
      <c r="B36" s="60"/>
      <c r="C36" s="60"/>
      <c r="D36" s="60"/>
      <c r="E36" s="60"/>
      <c r="F36" s="60"/>
    </row>
    <row r="37" spans="2:6" x14ac:dyDescent="0.25">
      <c r="B37" s="60"/>
      <c r="C37" s="60"/>
      <c r="D37" s="60"/>
      <c r="E37" s="60"/>
      <c r="F37" s="60"/>
    </row>
    <row r="38" spans="2:6" x14ac:dyDescent="0.25">
      <c r="B38" s="60"/>
      <c r="C38" s="60"/>
      <c r="D38" s="60"/>
      <c r="E38" s="60"/>
      <c r="F38" s="60"/>
    </row>
    <row r="39" spans="2:6" x14ac:dyDescent="0.25">
      <c r="B39" s="60"/>
      <c r="C39" s="60"/>
      <c r="D39" s="60"/>
      <c r="E39" s="60"/>
      <c r="F39" s="60"/>
    </row>
    <row r="40" spans="2:6" x14ac:dyDescent="0.25">
      <c r="B40" s="60"/>
      <c r="C40" s="60"/>
      <c r="D40" s="60"/>
      <c r="E40" s="60"/>
      <c r="F40" s="60"/>
    </row>
    <row r="41" spans="2:6" x14ac:dyDescent="0.25">
      <c r="B41" s="60"/>
      <c r="C41" s="60"/>
      <c r="D41" s="60"/>
      <c r="E41" s="60"/>
      <c r="F41" s="60"/>
    </row>
    <row r="42" spans="2:6" x14ac:dyDescent="0.25">
      <c r="B42" s="60"/>
      <c r="C42" s="60"/>
      <c r="D42" s="60"/>
      <c r="E42" s="60"/>
      <c r="F42" s="60"/>
    </row>
    <row r="43" spans="2:6" x14ac:dyDescent="0.25">
      <c r="B43" s="60"/>
      <c r="C43" s="60"/>
      <c r="D43" s="60"/>
      <c r="E43" s="60"/>
      <c r="F43" s="60"/>
    </row>
    <row r="44" spans="2:6" x14ac:dyDescent="0.25">
      <c r="B44" s="60"/>
      <c r="C44" s="60"/>
      <c r="D44" s="60"/>
      <c r="E44" s="60"/>
      <c r="F44" s="60"/>
    </row>
    <row r="45" spans="2:6" x14ac:dyDescent="0.25">
      <c r="B45" s="60"/>
      <c r="C45" s="60"/>
      <c r="D45" s="60"/>
      <c r="E45" s="60"/>
      <c r="F45" s="60"/>
    </row>
    <row r="46" spans="2:6" x14ac:dyDescent="0.25">
      <c r="B46" s="60"/>
      <c r="C46" s="60"/>
      <c r="D46" s="60"/>
      <c r="E46" s="60"/>
      <c r="F46" s="60"/>
    </row>
    <row r="47" spans="2:6" x14ac:dyDescent="0.25">
      <c r="B47" s="60"/>
      <c r="C47" s="60"/>
      <c r="D47" s="60"/>
      <c r="E47" s="60"/>
      <c r="F47" s="60"/>
    </row>
    <row r="48" spans="2:6" x14ac:dyDescent="0.25">
      <c r="B48" s="60"/>
      <c r="C48" s="60"/>
      <c r="D48" s="60"/>
      <c r="E48" s="60"/>
      <c r="F48" s="60"/>
    </row>
    <row r="49" spans="2:6" x14ac:dyDescent="0.25">
      <c r="B49" s="60"/>
      <c r="C49" s="60"/>
      <c r="D49" s="60"/>
      <c r="E49" s="60"/>
      <c r="F49" s="60"/>
    </row>
    <row r="50" spans="2:6" x14ac:dyDescent="0.25">
      <c r="B50" s="60"/>
      <c r="C50" s="60"/>
      <c r="D50" s="60"/>
      <c r="E50" s="60"/>
      <c r="F50" s="60"/>
    </row>
    <row r="51" spans="2:6" x14ac:dyDescent="0.25">
      <c r="B51" s="60"/>
      <c r="C51" s="60"/>
      <c r="D51" s="60"/>
      <c r="E51" s="60"/>
      <c r="F51" s="60"/>
    </row>
  </sheetData>
  <sheetProtection sheet="1" objects="1" scenarios="1"/>
  <mergeCells count="9">
    <mergeCell ref="C20:D20"/>
    <mergeCell ref="C21:D21"/>
    <mergeCell ref="B2:I3"/>
    <mergeCell ref="K3:M3"/>
    <mergeCell ref="N3:P3"/>
    <mergeCell ref="K4:M4"/>
    <mergeCell ref="N4:P4"/>
    <mergeCell ref="B18:D18"/>
    <mergeCell ref="C19:D19"/>
  </mergeCells>
  <pageMargins left="0.7" right="0.7" top="0.75" bottom="0.75" header="0.3" footer="0.3"/>
  <drawing r:id="rId1"/>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B2:BC88"/>
  <sheetViews>
    <sheetView zoomScale="85" zoomScaleNormal="85" workbookViewId="0"/>
  </sheetViews>
  <sheetFormatPr defaultRowHeight="15" x14ac:dyDescent="0.25"/>
  <cols>
    <col min="1" max="1" width="3" customWidth="1"/>
    <col min="2" max="2" width="10.42578125" bestFit="1" customWidth="1"/>
    <col min="3" max="3" width="12" bestFit="1" customWidth="1"/>
    <col min="4" max="4" width="10.42578125" bestFit="1" customWidth="1"/>
    <col min="5" max="5" width="22.85546875" bestFit="1" customWidth="1"/>
    <col min="7" max="7" width="10.85546875" bestFit="1" customWidth="1"/>
    <col min="8" max="8" width="14.85546875" bestFit="1" customWidth="1"/>
    <col min="9" max="9" width="12" bestFit="1" customWidth="1"/>
    <col min="10" max="10" width="11.28515625" bestFit="1" customWidth="1"/>
    <col min="11" max="11" width="11.28515625" customWidth="1"/>
    <col min="12" max="12" width="12.28515625" bestFit="1" customWidth="1"/>
    <col min="13" max="13" width="13.7109375" bestFit="1" customWidth="1"/>
    <col min="14" max="15" width="12" bestFit="1" customWidth="1"/>
    <col min="16" max="16" width="12" customWidth="1"/>
    <col min="17" max="17" width="14" bestFit="1" customWidth="1"/>
    <col min="18" max="18" width="14" customWidth="1"/>
    <col min="20" max="21" width="10.42578125" bestFit="1" customWidth="1"/>
    <col min="22" max="22" width="21.42578125" bestFit="1" customWidth="1"/>
    <col min="24" max="24" width="10.85546875" bestFit="1" customWidth="1"/>
    <col min="25" max="25" width="14.85546875" bestFit="1" customWidth="1"/>
    <col min="26" max="26" width="12" bestFit="1" customWidth="1"/>
    <col min="27" max="27" width="11.42578125" bestFit="1" customWidth="1"/>
    <col min="28" max="29" width="11.42578125" customWidth="1"/>
    <col min="30" max="30" width="13.7109375" bestFit="1" customWidth="1"/>
    <col min="31" max="33" width="12" bestFit="1" customWidth="1"/>
    <col min="34" max="34" width="14" bestFit="1" customWidth="1"/>
    <col min="35" max="35" width="10.85546875" bestFit="1" customWidth="1"/>
    <col min="37" max="55" width="12.28515625" customWidth="1"/>
  </cols>
  <sheetData>
    <row r="2" spans="2:55" ht="15" customHeight="1" x14ac:dyDescent="0.25">
      <c r="B2" s="123" t="s">
        <v>371</v>
      </c>
      <c r="C2" s="123"/>
      <c r="D2" s="123"/>
      <c r="E2" s="123"/>
      <c r="F2" s="123"/>
      <c r="G2" s="123"/>
      <c r="H2" s="123"/>
      <c r="I2" s="123"/>
      <c r="J2" s="123"/>
      <c r="K2" s="123"/>
      <c r="L2" s="123"/>
      <c r="M2" s="123"/>
      <c r="N2" s="123"/>
      <c r="O2" s="123"/>
      <c r="P2" s="123"/>
      <c r="Q2" s="123"/>
      <c r="R2" s="123"/>
      <c r="T2" s="123" t="s">
        <v>372</v>
      </c>
      <c r="U2" s="123"/>
      <c r="V2" s="123"/>
      <c r="W2" s="123"/>
      <c r="X2" s="123"/>
      <c r="Y2" s="123"/>
      <c r="Z2" s="123"/>
      <c r="AA2" s="123"/>
      <c r="AB2" s="123"/>
      <c r="AC2" s="123"/>
      <c r="AD2" s="123"/>
      <c r="AE2" s="123"/>
      <c r="AF2" s="123"/>
      <c r="AG2" s="123"/>
      <c r="AH2" s="123"/>
      <c r="AI2" s="123"/>
      <c r="AJ2" t="s">
        <v>271</v>
      </c>
    </row>
    <row r="3" spans="2:55" x14ac:dyDescent="0.25">
      <c r="B3" s="123"/>
      <c r="C3" s="123"/>
      <c r="D3" s="123"/>
      <c r="E3" s="123"/>
      <c r="F3" s="123"/>
      <c r="G3" s="123"/>
      <c r="H3" s="123"/>
      <c r="I3" s="123"/>
      <c r="J3" s="123"/>
      <c r="K3" s="123"/>
      <c r="L3" s="123"/>
      <c r="M3" s="123"/>
      <c r="N3" s="123"/>
      <c r="O3" s="123"/>
      <c r="P3" s="123"/>
      <c r="Q3" s="123"/>
      <c r="R3" s="123"/>
      <c r="T3" s="123"/>
      <c r="U3" s="123"/>
      <c r="V3" s="123"/>
      <c r="W3" s="123"/>
      <c r="X3" s="123"/>
      <c r="Y3" s="123"/>
      <c r="Z3" s="123"/>
      <c r="AA3" s="123"/>
      <c r="AB3" s="123"/>
      <c r="AC3" s="123"/>
      <c r="AD3" s="123"/>
      <c r="AE3" s="123"/>
      <c r="AF3" s="123"/>
      <c r="AG3" s="123"/>
      <c r="AH3" s="123"/>
      <c r="AI3" s="123"/>
      <c r="AK3" s="140" t="s">
        <v>374</v>
      </c>
      <c r="AL3" s="141"/>
      <c r="AM3" s="141"/>
      <c r="AN3" s="142"/>
      <c r="AO3" s="140" t="s">
        <v>380</v>
      </c>
      <c r="AP3" s="141"/>
      <c r="AQ3" s="142"/>
      <c r="AR3" s="140" t="s">
        <v>384</v>
      </c>
      <c r="AS3" s="141"/>
      <c r="AT3" s="141"/>
      <c r="AU3" s="142"/>
      <c r="AV3" s="140" t="s">
        <v>378</v>
      </c>
      <c r="AW3" s="141"/>
      <c r="AX3" s="141"/>
      <c r="AY3" s="141"/>
      <c r="AZ3" s="142"/>
      <c r="BA3" s="140" t="s">
        <v>376</v>
      </c>
      <c r="BB3" s="141"/>
      <c r="BC3" s="142"/>
    </row>
    <row r="4" spans="2:55" x14ac:dyDescent="0.25">
      <c r="B4" s="7" t="s">
        <v>165</v>
      </c>
      <c r="C4" s="7" t="s">
        <v>168</v>
      </c>
      <c r="D4" s="7" t="s">
        <v>5</v>
      </c>
      <c r="E4" s="7" t="s">
        <v>2</v>
      </c>
      <c r="F4" s="7" t="s">
        <v>185</v>
      </c>
      <c r="G4" s="7" t="s">
        <v>191</v>
      </c>
      <c r="H4" s="7" t="s">
        <v>192</v>
      </c>
      <c r="I4" s="7" t="s">
        <v>194</v>
      </c>
      <c r="J4" s="7" t="s">
        <v>194</v>
      </c>
      <c r="K4" s="7" t="s">
        <v>223</v>
      </c>
      <c r="L4" s="7" t="s">
        <v>238</v>
      </c>
      <c r="M4" s="7" t="s">
        <v>236</v>
      </c>
      <c r="N4" s="41" t="s">
        <v>208</v>
      </c>
      <c r="O4" s="41" t="s">
        <v>230</v>
      </c>
      <c r="P4" s="41" t="s">
        <v>231</v>
      </c>
      <c r="Q4" s="41" t="s">
        <v>211</v>
      </c>
      <c r="R4" s="41" t="s">
        <v>260</v>
      </c>
      <c r="T4" s="7" t="s">
        <v>165</v>
      </c>
      <c r="U4" s="7" t="s">
        <v>5</v>
      </c>
      <c r="V4" s="7" t="s">
        <v>197</v>
      </c>
      <c r="W4" s="7" t="s">
        <v>185</v>
      </c>
      <c r="X4" s="7" t="s">
        <v>191</v>
      </c>
      <c r="Y4" s="7" t="s">
        <v>192</v>
      </c>
      <c r="Z4" s="7" t="s">
        <v>198</v>
      </c>
      <c r="AA4" s="7" t="s">
        <v>198</v>
      </c>
      <c r="AB4" s="7" t="s">
        <v>224</v>
      </c>
      <c r="AC4" s="7" t="s">
        <v>238</v>
      </c>
      <c r="AD4" s="7" t="s">
        <v>236</v>
      </c>
      <c r="AE4" s="41" t="s">
        <v>208</v>
      </c>
      <c r="AF4" s="41" t="s">
        <v>230</v>
      </c>
      <c r="AG4" s="41" t="s">
        <v>231</v>
      </c>
      <c r="AH4" s="41" t="s">
        <v>211</v>
      </c>
      <c r="AI4" s="41" t="s">
        <v>260</v>
      </c>
      <c r="AJ4" s="75" t="s">
        <v>264</v>
      </c>
      <c r="AK4" s="76" t="s">
        <v>265</v>
      </c>
      <c r="AL4" s="76" t="s">
        <v>265</v>
      </c>
      <c r="AM4" s="76" t="s">
        <v>265</v>
      </c>
      <c r="AN4" s="76" t="s">
        <v>265</v>
      </c>
      <c r="AO4" s="76" t="s">
        <v>265</v>
      </c>
      <c r="AP4" s="76" t="s">
        <v>265</v>
      </c>
      <c r="AQ4" s="76" t="s">
        <v>265</v>
      </c>
      <c r="AR4" s="76" t="s">
        <v>265</v>
      </c>
      <c r="AS4" s="76" t="s">
        <v>265</v>
      </c>
      <c r="AT4" s="76" t="s">
        <v>265</v>
      </c>
      <c r="AU4" s="76" t="s">
        <v>265</v>
      </c>
      <c r="AV4" s="76" t="s">
        <v>265</v>
      </c>
      <c r="AW4" s="76" t="s">
        <v>265</v>
      </c>
      <c r="AX4" s="76" t="s">
        <v>265</v>
      </c>
      <c r="AY4" s="76" t="s">
        <v>265</v>
      </c>
      <c r="AZ4" s="76" t="s">
        <v>265</v>
      </c>
      <c r="BA4" s="76" t="s">
        <v>265</v>
      </c>
      <c r="BB4" s="76" t="s">
        <v>265</v>
      </c>
      <c r="BC4" s="76" t="s">
        <v>265</v>
      </c>
    </row>
    <row r="5" spans="2:55" x14ac:dyDescent="0.25">
      <c r="B5" s="8"/>
      <c r="C5" s="8"/>
      <c r="D5" s="9"/>
      <c r="E5" s="9"/>
      <c r="F5" s="9" t="s">
        <v>187</v>
      </c>
      <c r="G5" s="9"/>
      <c r="H5" s="9" t="s">
        <v>187</v>
      </c>
      <c r="I5" s="9" t="s">
        <v>187</v>
      </c>
      <c r="J5" s="9" t="s">
        <v>199</v>
      </c>
      <c r="K5" s="9" t="s">
        <v>187</v>
      </c>
      <c r="L5" s="9" t="s">
        <v>237</v>
      </c>
      <c r="M5" s="9" t="s">
        <v>237</v>
      </c>
      <c r="N5" s="42" t="s">
        <v>257</v>
      </c>
      <c r="O5" s="42" t="s">
        <v>257</v>
      </c>
      <c r="P5" s="42" t="s">
        <v>257</v>
      </c>
      <c r="Q5" s="42" t="s">
        <v>257</v>
      </c>
      <c r="R5" s="42" t="s">
        <v>263</v>
      </c>
      <c r="T5" s="8"/>
      <c r="U5" s="9"/>
      <c r="V5" s="9"/>
      <c r="W5" s="9" t="s">
        <v>187</v>
      </c>
      <c r="X5" s="9"/>
      <c r="Y5" s="9" t="s">
        <v>187</v>
      </c>
      <c r="Z5" s="9" t="s">
        <v>187</v>
      </c>
      <c r="AA5" s="9" t="s">
        <v>199</v>
      </c>
      <c r="AB5" s="9" t="s">
        <v>187</v>
      </c>
      <c r="AC5" s="9" t="s">
        <v>237</v>
      </c>
      <c r="AD5" s="9" t="s">
        <v>237</v>
      </c>
      <c r="AE5" s="42" t="s">
        <v>257</v>
      </c>
      <c r="AF5" s="42" t="s">
        <v>257</v>
      </c>
      <c r="AG5" s="42" t="s">
        <v>257</v>
      </c>
      <c r="AH5" s="42" t="s">
        <v>257</v>
      </c>
      <c r="AI5" s="42" t="s">
        <v>263</v>
      </c>
      <c r="AJ5" s="42" t="s">
        <v>269</v>
      </c>
      <c r="AK5" s="42" t="s">
        <v>272</v>
      </c>
      <c r="AL5" s="42" t="s">
        <v>273</v>
      </c>
      <c r="AM5" s="42" t="s">
        <v>275</v>
      </c>
      <c r="AN5" s="42" t="s">
        <v>276</v>
      </c>
      <c r="AO5" s="42" t="s">
        <v>272</v>
      </c>
      <c r="AP5" s="42" t="s">
        <v>273</v>
      </c>
      <c r="AQ5" s="42" t="s">
        <v>274</v>
      </c>
      <c r="AR5" s="42" t="s">
        <v>272</v>
      </c>
      <c r="AS5" s="42" t="s">
        <v>274</v>
      </c>
      <c r="AT5" s="42" t="s">
        <v>275</v>
      </c>
      <c r="AU5" s="42" t="s">
        <v>276</v>
      </c>
      <c r="AV5" s="42" t="s">
        <v>270</v>
      </c>
      <c r="AW5" s="42" t="s">
        <v>272</v>
      </c>
      <c r="AX5" s="42" t="s">
        <v>273</v>
      </c>
      <c r="AY5" s="42" t="s">
        <v>274</v>
      </c>
      <c r="AZ5" s="42" t="s">
        <v>275</v>
      </c>
      <c r="BA5" s="42" t="s">
        <v>272</v>
      </c>
      <c r="BB5" s="42" t="s">
        <v>275</v>
      </c>
      <c r="BC5" s="42" t="s">
        <v>276</v>
      </c>
    </row>
    <row r="6" spans="2:55" x14ac:dyDescent="0.25">
      <c r="B6" s="6">
        <f>DAYS360("31-12-2009",D6)</f>
        <v>220</v>
      </c>
      <c r="C6" s="10">
        <v>1</v>
      </c>
      <c r="D6" s="5">
        <v>40400</v>
      </c>
      <c r="E6" s="6" t="s">
        <v>370</v>
      </c>
      <c r="F6" s="34">
        <v>180</v>
      </c>
      <c r="G6" s="31"/>
      <c r="H6" s="31"/>
      <c r="I6" s="31"/>
      <c r="J6" s="31"/>
      <c r="K6" s="31"/>
      <c r="L6" s="6">
        <f>F6-$F$28</f>
        <v>-2820.681818181818</v>
      </c>
      <c r="M6" s="6">
        <f>SQRT((L6*L6)/COUNT($B$6:$B$27))</f>
        <v>601.37138424760929</v>
      </c>
      <c r="N6" s="31"/>
      <c r="O6" s="31"/>
      <c r="P6" s="31"/>
      <c r="Q6" s="31"/>
      <c r="R6" s="31"/>
      <c r="T6" s="6">
        <f>DAYS360("31-12-2009",U6)</f>
        <v>575</v>
      </c>
      <c r="U6" s="5">
        <v>40760</v>
      </c>
      <c r="V6" s="6" t="s">
        <v>375</v>
      </c>
      <c r="W6" s="33">
        <f>5*24*60</f>
        <v>7200</v>
      </c>
      <c r="X6" s="6">
        <f>COUNT(W6)</f>
        <v>1</v>
      </c>
      <c r="Y6" s="6">
        <f>SUM(W6)</f>
        <v>7200</v>
      </c>
      <c r="Z6" s="6">
        <f>($F$31-Y6)/X6</f>
        <v>511200</v>
      </c>
      <c r="AA6" s="6">
        <f>INT(Z6/60/24)</f>
        <v>355</v>
      </c>
      <c r="AB6" s="6">
        <f>Y6/X6</f>
        <v>7200</v>
      </c>
      <c r="AC6" s="6">
        <f>Y6-W7</f>
        <v>0</v>
      </c>
      <c r="AD6" s="33">
        <f>SQRT((AC6*AC6)/COUNT(W6))</f>
        <v>0</v>
      </c>
      <c r="AE6" s="6">
        <f>1/AA6</f>
        <v>2.8169014084507044E-3</v>
      </c>
      <c r="AF6" s="6">
        <f>AE6*EXP(-AE6*(365*1))</f>
        <v>1.0074964340442004E-3</v>
      </c>
      <c r="AG6" s="6">
        <f>1-EXP(-AE6*(365*1))</f>
        <v>0.64233876591430894</v>
      </c>
      <c r="AH6" s="6">
        <f>EXP(-AE6*(365*1))</f>
        <v>0.35766123408569112</v>
      </c>
      <c r="AI6" s="6">
        <f>$F$31/(Y6+$F$31)*100</f>
        <v>98.630136986301366</v>
      </c>
      <c r="AJ6">
        <v>1</v>
      </c>
      <c r="AK6" s="6">
        <f>EXP(-$AE$6*(AJ6))</f>
        <v>0.99718706233562282</v>
      </c>
      <c r="AL6" s="6">
        <f>EXP(-$AE$9*(AJ6))</f>
        <v>0.99442898380825406</v>
      </c>
      <c r="AM6" s="6">
        <f>EXP(-$AE$11*(AJ6))</f>
        <v>0.99721836062779279</v>
      </c>
      <c r="AN6" s="6">
        <f>EXP(-$AE$14*(AJ6))</f>
        <v>0.99442898380825406</v>
      </c>
      <c r="AO6" s="6">
        <f>EXP(-$AE$16*(AJ6))</f>
        <v>0.99718706233562282</v>
      </c>
      <c r="AP6" s="6">
        <f>EXP(-$AE$18*(AJ6))</f>
        <v>0.99721836062779279</v>
      </c>
      <c r="AQ6" s="6">
        <f>EXP(-$AE$20*(AJ6))</f>
        <v>0.99721836062779279</v>
      </c>
      <c r="AR6" s="6">
        <f>EXP(-$AE$23*(AJ6))</f>
        <v>0.99436621212642873</v>
      </c>
      <c r="AS6" s="6">
        <f>EXP(-$AE$26*(AJ6))</f>
        <v>0.99442898380825406</v>
      </c>
      <c r="AT6" s="6">
        <f>EXP(-$AE$28*(AJ6))</f>
        <v>0.99721836062779279</v>
      </c>
      <c r="AU6" s="6">
        <f>EXP(-$AE$30*(AJ6))</f>
        <v>0.99721836062779279</v>
      </c>
      <c r="AV6" s="6">
        <f>EXP(-$AE$32*(AJ6))</f>
        <v>0.99721836062779279</v>
      </c>
      <c r="AW6" s="6">
        <f>EXP(-$AE$34*(AJ6))</f>
        <v>0.99718706233562282</v>
      </c>
      <c r="AX6" s="6">
        <f>EXP(-$AE$38*(AJ6))</f>
        <v>0.99163184820119987</v>
      </c>
      <c r="AY6" s="6">
        <f>EXP(-$AE$40*(AJ6))</f>
        <v>0.99721836062779279</v>
      </c>
      <c r="AZ6" s="6">
        <f>EXP(-$AE$42*(AJ6))</f>
        <v>0.99721836062779279</v>
      </c>
      <c r="BA6" s="6">
        <f>EXP(-$AE$44*(AJ6))</f>
        <v>0.99718706233562282</v>
      </c>
      <c r="BB6" s="6">
        <f>EXP(-$AE$46*(AJ6))</f>
        <v>0.99696510096727764</v>
      </c>
      <c r="BC6" s="6">
        <f>EXP(-$AE$49*(AJ6))</f>
        <v>0.99436621212642873</v>
      </c>
    </row>
    <row r="7" spans="2:55" x14ac:dyDescent="0.25">
      <c r="B7" s="6">
        <f t="shared" ref="B7:B26" si="0">DAYS360("31-12-2009",D7)</f>
        <v>575</v>
      </c>
      <c r="C7" s="14">
        <v>1</v>
      </c>
      <c r="D7" s="5">
        <v>40760</v>
      </c>
      <c r="E7" s="6" t="s">
        <v>370</v>
      </c>
      <c r="F7" s="33">
        <f>5*24*60</f>
        <v>7200</v>
      </c>
      <c r="G7" s="31"/>
      <c r="H7" s="31"/>
      <c r="I7" s="31"/>
      <c r="J7" s="31"/>
      <c r="K7" s="31"/>
      <c r="L7" s="6">
        <f t="shared" ref="L7:L27" si="1">F7-$F$28</f>
        <v>4199.318181818182</v>
      </c>
      <c r="M7" s="6">
        <f t="shared" ref="M7:M27" si="2">SQRT((L7*L7)/COUNT($B$6:$B$27))</f>
        <v>895.29764456877592</v>
      </c>
      <c r="N7" s="31"/>
      <c r="O7" s="31"/>
      <c r="P7" s="31"/>
      <c r="Q7" s="31"/>
      <c r="R7" s="31"/>
      <c r="T7" s="31"/>
      <c r="U7" s="31"/>
      <c r="V7" s="43" t="s">
        <v>235</v>
      </c>
      <c r="W7" s="6">
        <f>AVERAGE(W6)</f>
        <v>7200</v>
      </c>
      <c r="X7" s="31"/>
      <c r="Y7" s="31"/>
      <c r="Z7" s="31"/>
      <c r="AA7" s="31"/>
      <c r="AB7" s="31"/>
      <c r="AC7" s="31"/>
      <c r="AD7" s="31"/>
      <c r="AE7" s="31"/>
      <c r="AF7" s="31"/>
      <c r="AG7" s="31"/>
      <c r="AH7" s="31"/>
      <c r="AI7" s="31"/>
      <c r="AJ7">
        <f>AJ6+5</f>
        <v>6</v>
      </c>
      <c r="AK7" s="6">
        <f t="shared" ref="AK7:AK70" si="3">EXP(-$AE$6*(AJ7))</f>
        <v>0.98324061907233784</v>
      </c>
      <c r="AL7" s="6">
        <f t="shared" ref="AL7:AL70" si="4">EXP(-$AE$9*(AJ7))</f>
        <v>0.96703600252135291</v>
      </c>
      <c r="AM7" s="6">
        <f t="shared" ref="AM7:AM70" si="5">EXP(-$AE$11*(AJ7))</f>
        <v>0.98342579696807908</v>
      </c>
      <c r="AN7" s="6">
        <f t="shared" ref="AN7:AN70" si="6">EXP(-$AE$14*(AJ7))</f>
        <v>0.96703600252135291</v>
      </c>
      <c r="AO7" s="6">
        <f t="shared" ref="AO7:AO70" si="7">EXP(-$AE$16*(AJ7))</f>
        <v>0.98324061907233784</v>
      </c>
      <c r="AP7" s="6">
        <f t="shared" ref="AP7:AP70" si="8">EXP(-$AE$18*(AJ7))</f>
        <v>0.98342579696807908</v>
      </c>
      <c r="AQ7" s="6">
        <f t="shared" ref="AQ7:AQ70" si="9">EXP(-$AE$20*(AJ7))</f>
        <v>0.98342579696807908</v>
      </c>
      <c r="AR7" s="6">
        <f t="shared" ref="AR7:AR70" si="10">EXP(-$AE$23*(AJ7))</f>
        <v>0.96666980504299893</v>
      </c>
      <c r="AS7" s="6">
        <f t="shared" ref="AS7:AS70" si="11">EXP(-$AE$26*(AJ7))</f>
        <v>0.96703600252135291</v>
      </c>
      <c r="AT7" s="6">
        <f t="shared" ref="AT7:AT70" si="12">EXP(-$AE$28*(AJ7))</f>
        <v>0.98342579696807908</v>
      </c>
      <c r="AU7" s="6">
        <f t="shared" ref="AU7:AU70" si="13">EXP(-$AE$30*(AJ7))</f>
        <v>0.98342579696807908</v>
      </c>
      <c r="AV7" s="6">
        <f t="shared" ref="AV7:AV70" si="14">EXP(-$AE$32*(AJ7))</f>
        <v>0.98342579696807908</v>
      </c>
      <c r="AW7" s="6">
        <f t="shared" ref="AW7:AW70" si="15">EXP(-$AE$34*(AJ7))</f>
        <v>0.98324061907233784</v>
      </c>
      <c r="AX7" s="6">
        <f t="shared" ref="AX7:AX70" si="16">EXP(-$AE$38*(AJ7))</f>
        <v>0.95082983222576778</v>
      </c>
      <c r="AY7" s="6">
        <f t="shared" ref="AY7:AY70" si="17">EXP(-$AE$40*(AJ7))</f>
        <v>0.98342579696807908</v>
      </c>
      <c r="AZ7" s="6">
        <f t="shared" ref="AZ7:AZ70" si="18">EXP(-$AE$42*(AJ7))</f>
        <v>0.98342579696807908</v>
      </c>
      <c r="BA7" s="6">
        <f t="shared" ref="BA7:BA70" si="19">EXP(-$AE$44*(AJ7))</f>
        <v>0.98324061907233784</v>
      </c>
      <c r="BB7" s="6">
        <f t="shared" ref="BB7:BB70" si="20">EXP(-$AE$46*(AJ7))</f>
        <v>0.98192820719117724</v>
      </c>
      <c r="BC7" s="6">
        <f t="shared" ref="BC7:BC70" si="21">EXP(-$AE$49*(AJ7))</f>
        <v>0.96666980504299893</v>
      </c>
    </row>
    <row r="8" spans="2:55" x14ac:dyDescent="0.25">
      <c r="B8" s="6">
        <f t="shared" si="0"/>
        <v>599</v>
      </c>
      <c r="C8" s="14">
        <v>1</v>
      </c>
      <c r="D8" s="5">
        <v>40784</v>
      </c>
      <c r="E8" s="6" t="s">
        <v>370</v>
      </c>
      <c r="F8" s="33">
        <v>180</v>
      </c>
      <c r="G8" s="31"/>
      <c r="H8" s="31"/>
      <c r="I8" s="31"/>
      <c r="J8" s="31"/>
      <c r="K8" s="31"/>
      <c r="L8" s="6">
        <f t="shared" si="1"/>
        <v>-2820.681818181818</v>
      </c>
      <c r="M8" s="6">
        <f t="shared" si="2"/>
        <v>601.37138424760929</v>
      </c>
      <c r="N8" s="31"/>
      <c r="O8" s="31"/>
      <c r="P8" s="31"/>
      <c r="Q8" s="31"/>
      <c r="R8" s="31"/>
      <c r="T8" s="6">
        <f t="shared" ref="T8:T9" si="22">DAYS360("31-12-2009",U8)</f>
        <v>916</v>
      </c>
      <c r="U8" s="5">
        <v>41106</v>
      </c>
      <c r="V8" s="6" t="s">
        <v>375</v>
      </c>
      <c r="W8" s="33">
        <v>60</v>
      </c>
      <c r="X8" s="31"/>
      <c r="Y8" s="31"/>
      <c r="Z8" s="31"/>
      <c r="AA8" s="31"/>
      <c r="AB8" s="31"/>
      <c r="AC8" s="31"/>
      <c r="AD8" s="31"/>
      <c r="AE8" s="31"/>
      <c r="AF8" s="31"/>
      <c r="AG8" s="31"/>
      <c r="AH8" s="31"/>
      <c r="AI8" s="31"/>
      <c r="AJ8">
        <f t="shared" ref="AJ8:AJ71" si="23">AJ7+5</f>
        <v>11</v>
      </c>
      <c r="AK8" s="6">
        <f t="shared" si="3"/>
        <v>0.96948922775772173</v>
      </c>
      <c r="AL8" s="6">
        <f t="shared" si="4"/>
        <v>0.94039760043115894</v>
      </c>
      <c r="AM8" s="6">
        <f t="shared" si="5"/>
        <v>0.96982399876136749</v>
      </c>
      <c r="AN8" s="6">
        <f t="shared" si="6"/>
        <v>0.94039760043115894</v>
      </c>
      <c r="AO8" s="6">
        <f t="shared" si="7"/>
        <v>0.96948922775772173</v>
      </c>
      <c r="AP8" s="6">
        <f t="shared" si="8"/>
        <v>0.96982399876136749</v>
      </c>
      <c r="AQ8" s="6">
        <f t="shared" si="9"/>
        <v>0.96982399876136749</v>
      </c>
      <c r="AR8" s="6">
        <f t="shared" si="10"/>
        <v>0.93974483503775652</v>
      </c>
      <c r="AS8" s="6">
        <f t="shared" si="11"/>
        <v>0.94039760043115894</v>
      </c>
      <c r="AT8" s="6">
        <f t="shared" si="12"/>
        <v>0.96982399876136749</v>
      </c>
      <c r="AU8" s="6">
        <f t="shared" si="13"/>
        <v>0.96982399876136749</v>
      </c>
      <c r="AV8" s="6">
        <f t="shared" si="14"/>
        <v>0.96982399876136749</v>
      </c>
      <c r="AW8" s="6">
        <f t="shared" si="15"/>
        <v>0.96948922775772173</v>
      </c>
      <c r="AX8" s="6">
        <f t="shared" si="16"/>
        <v>0.91170666965815983</v>
      </c>
      <c r="AY8" s="6">
        <f t="shared" si="17"/>
        <v>0.96982399876136749</v>
      </c>
      <c r="AZ8" s="6">
        <f t="shared" si="18"/>
        <v>0.96982399876136749</v>
      </c>
      <c r="BA8" s="6">
        <f t="shared" si="19"/>
        <v>0.96948922775772173</v>
      </c>
      <c r="BB8" s="6">
        <f t="shared" si="20"/>
        <v>0.96711810989392477</v>
      </c>
      <c r="BC8" s="6">
        <f t="shared" si="21"/>
        <v>0.93974483503775652</v>
      </c>
    </row>
    <row r="9" spans="2:55" x14ac:dyDescent="0.25">
      <c r="B9" s="6">
        <f t="shared" si="0"/>
        <v>747</v>
      </c>
      <c r="C9" s="10">
        <v>1</v>
      </c>
      <c r="D9" s="5">
        <v>40935</v>
      </c>
      <c r="E9" s="6" t="s">
        <v>370</v>
      </c>
      <c r="F9" s="33">
        <v>240</v>
      </c>
      <c r="G9" s="31"/>
      <c r="H9" s="31"/>
      <c r="I9" s="31"/>
      <c r="J9" s="31"/>
      <c r="K9" s="31"/>
      <c r="L9" s="6">
        <f t="shared" si="1"/>
        <v>-2760.681818181818</v>
      </c>
      <c r="M9" s="6">
        <f t="shared" si="2"/>
        <v>588.57934126627265</v>
      </c>
      <c r="N9" s="31"/>
      <c r="O9" s="31"/>
      <c r="P9" s="31"/>
      <c r="Q9" s="31"/>
      <c r="R9" s="31"/>
      <c r="T9" s="6">
        <f t="shared" si="22"/>
        <v>1016</v>
      </c>
      <c r="U9" s="5">
        <v>41208</v>
      </c>
      <c r="V9" s="6" t="s">
        <v>375</v>
      </c>
      <c r="W9" s="33">
        <v>360</v>
      </c>
      <c r="X9" s="6">
        <f>COUNT(W8:W9)</f>
        <v>2</v>
      </c>
      <c r="Y9" s="6">
        <f>SUM(W8:W9)</f>
        <v>420</v>
      </c>
      <c r="Z9" s="6">
        <f>($F$31-Y9)/X9</f>
        <v>258990</v>
      </c>
      <c r="AA9" s="6">
        <f>INT(Z9/60/24)</f>
        <v>179</v>
      </c>
      <c r="AB9" s="6">
        <f>Y9/X9</f>
        <v>210</v>
      </c>
      <c r="AC9" s="6">
        <f>Y9-W10</f>
        <v>210</v>
      </c>
      <c r="AD9" s="33">
        <f>SQRT((AC9*AC9)/COUNT(W8:W9))</f>
        <v>148.49242404917499</v>
      </c>
      <c r="AE9" s="6">
        <f>1/AA9</f>
        <v>5.5865921787709499E-3</v>
      </c>
      <c r="AF9" s="6">
        <f>AE9*EXP(-AE9*(365*1))</f>
        <v>7.2706698111458005E-4</v>
      </c>
      <c r="AG9" s="6">
        <f>1-EXP(-AE9*(365*1))</f>
        <v>0.86985501038049018</v>
      </c>
      <c r="AH9" s="6">
        <f>EXP(-AE9*(365*1))</f>
        <v>0.13014498961950982</v>
      </c>
      <c r="AI9" s="6">
        <f>$F$31/(Y9+$F$31)*100</f>
        <v>99.919047068347396</v>
      </c>
      <c r="AJ9">
        <f t="shared" si="23"/>
        <v>16</v>
      </c>
      <c r="AK9" s="6">
        <f t="shared" si="3"/>
        <v>0.95593016043727319</v>
      </c>
      <c r="AL9" s="6">
        <f t="shared" si="4"/>
        <v>0.91449299156486641</v>
      </c>
      <c r="AM9" s="6">
        <f t="shared" si="5"/>
        <v>0.95641032752369259</v>
      </c>
      <c r="AN9" s="6">
        <f t="shared" si="6"/>
        <v>0.91449299156486641</v>
      </c>
      <c r="AO9" s="6">
        <f t="shared" si="7"/>
        <v>0.95593016043727319</v>
      </c>
      <c r="AP9" s="6">
        <f t="shared" si="8"/>
        <v>0.95641032752369259</v>
      </c>
      <c r="AQ9" s="6">
        <f t="shared" si="9"/>
        <v>0.95641032752369259</v>
      </c>
      <c r="AR9" s="6">
        <f t="shared" si="10"/>
        <v>0.91356981502164303</v>
      </c>
      <c r="AS9" s="6">
        <f t="shared" si="11"/>
        <v>0.91449299156486641</v>
      </c>
      <c r="AT9" s="6">
        <f t="shared" si="12"/>
        <v>0.95641032752369259</v>
      </c>
      <c r="AU9" s="6">
        <f t="shared" si="13"/>
        <v>0.95641032752369259</v>
      </c>
      <c r="AV9" s="6">
        <f t="shared" si="14"/>
        <v>0.95641032752369259</v>
      </c>
      <c r="AW9" s="6">
        <f t="shared" si="15"/>
        <v>0.95593016043727319</v>
      </c>
      <c r="AX9" s="6">
        <f t="shared" si="16"/>
        <v>0.87419328183406031</v>
      </c>
      <c r="AY9" s="6">
        <f t="shared" si="17"/>
        <v>0.95641032752369259</v>
      </c>
      <c r="AZ9" s="6">
        <f t="shared" si="18"/>
        <v>0.95641032752369259</v>
      </c>
      <c r="BA9" s="6">
        <f t="shared" si="19"/>
        <v>0.95593016043727319</v>
      </c>
      <c r="BB9" s="6">
        <f t="shared" si="20"/>
        <v>0.95253138837949203</v>
      </c>
      <c r="BC9" s="6">
        <f t="shared" si="21"/>
        <v>0.91356981502164303</v>
      </c>
    </row>
    <row r="10" spans="2:55" x14ac:dyDescent="0.25">
      <c r="B10" s="6">
        <f t="shared" si="0"/>
        <v>910</v>
      </c>
      <c r="C10" s="14">
        <v>1</v>
      </c>
      <c r="D10" s="5">
        <v>41100</v>
      </c>
      <c r="E10" s="6" t="s">
        <v>370</v>
      </c>
      <c r="F10" s="33">
        <v>120</v>
      </c>
      <c r="G10" s="31"/>
      <c r="H10" s="31"/>
      <c r="I10" s="31"/>
      <c r="J10" s="31"/>
      <c r="K10" s="31"/>
      <c r="L10" s="6">
        <f t="shared" si="1"/>
        <v>-2880.681818181818</v>
      </c>
      <c r="M10" s="6">
        <f t="shared" si="2"/>
        <v>614.16342722894592</v>
      </c>
      <c r="N10" s="31"/>
      <c r="O10" s="31"/>
      <c r="P10" s="31"/>
      <c r="Q10" s="31"/>
      <c r="R10" s="31"/>
      <c r="T10" s="31"/>
      <c r="U10" s="31"/>
      <c r="V10" s="43" t="s">
        <v>235</v>
      </c>
      <c r="W10" s="6">
        <f>AVERAGE(W8:W9)</f>
        <v>210</v>
      </c>
      <c r="X10" s="31"/>
      <c r="Y10" s="31"/>
      <c r="Z10" s="31"/>
      <c r="AA10" s="31"/>
      <c r="AB10" s="31"/>
      <c r="AC10" s="31"/>
      <c r="AD10" s="31"/>
      <c r="AE10" s="31"/>
      <c r="AF10" s="31"/>
      <c r="AG10" s="31"/>
      <c r="AH10" s="31"/>
      <c r="AI10" s="31"/>
      <c r="AJ10">
        <f t="shared" si="23"/>
        <v>21</v>
      </c>
      <c r="AK10" s="6">
        <f t="shared" si="3"/>
        <v>0.94256072730907403</v>
      </c>
      <c r="AL10" s="6">
        <f t="shared" si="4"/>
        <v>0.88930196252928373</v>
      </c>
      <c r="AM10" s="6">
        <f t="shared" si="5"/>
        <v>0.94318218126405728</v>
      </c>
      <c r="AN10" s="6">
        <f t="shared" si="6"/>
        <v>0.88930196252928373</v>
      </c>
      <c r="AO10" s="6">
        <f t="shared" si="7"/>
        <v>0.94256072730907403</v>
      </c>
      <c r="AP10" s="6">
        <f t="shared" si="8"/>
        <v>0.94318218126405728</v>
      </c>
      <c r="AQ10" s="6">
        <f t="shared" si="9"/>
        <v>0.94318218126405728</v>
      </c>
      <c r="AR10" s="6">
        <f t="shared" si="10"/>
        <v>0.88812385639251379</v>
      </c>
      <c r="AS10" s="6">
        <f t="shared" si="11"/>
        <v>0.88930196252928373</v>
      </c>
      <c r="AT10" s="6">
        <f t="shared" si="12"/>
        <v>0.94318218126405728</v>
      </c>
      <c r="AU10" s="6">
        <f t="shared" si="13"/>
        <v>0.94318218126405728</v>
      </c>
      <c r="AV10" s="6">
        <f t="shared" si="14"/>
        <v>0.94318218126405728</v>
      </c>
      <c r="AW10" s="6">
        <f t="shared" si="15"/>
        <v>0.94256072730907403</v>
      </c>
      <c r="AX10" s="6">
        <f t="shared" si="16"/>
        <v>0.8382234324229999</v>
      </c>
      <c r="AY10" s="6">
        <f t="shared" si="17"/>
        <v>0.94318218126405728</v>
      </c>
      <c r="AZ10" s="6">
        <f t="shared" si="18"/>
        <v>0.94318218126405728</v>
      </c>
      <c r="BA10" s="6">
        <f t="shared" si="19"/>
        <v>0.94256072730907403</v>
      </c>
      <c r="BB10" s="6">
        <f t="shared" si="20"/>
        <v>0.93816467354507382</v>
      </c>
      <c r="BC10" s="6">
        <f t="shared" si="21"/>
        <v>0.88812385639251379</v>
      </c>
    </row>
    <row r="11" spans="2:55" x14ac:dyDescent="0.25">
      <c r="B11" s="6">
        <f t="shared" si="0"/>
        <v>912</v>
      </c>
      <c r="C11" s="14">
        <v>1</v>
      </c>
      <c r="D11" s="5">
        <v>41102</v>
      </c>
      <c r="E11" s="6" t="s">
        <v>370</v>
      </c>
      <c r="F11" s="33">
        <v>120</v>
      </c>
      <c r="G11" s="31"/>
      <c r="H11" s="31"/>
      <c r="I11" s="31"/>
      <c r="J11" s="31"/>
      <c r="K11" s="31"/>
      <c r="L11" s="6">
        <f t="shared" si="1"/>
        <v>-2880.681818181818</v>
      </c>
      <c r="M11" s="6">
        <f t="shared" si="2"/>
        <v>614.16342722894592</v>
      </c>
      <c r="N11" s="31"/>
      <c r="O11" s="31"/>
      <c r="P11" s="31"/>
      <c r="Q11" s="31"/>
      <c r="R11" s="31"/>
      <c r="T11" s="6">
        <f>DAYS360("31-12-2009",U11)</f>
        <v>1620</v>
      </c>
      <c r="U11" s="5">
        <v>41820</v>
      </c>
      <c r="V11" s="6" t="s">
        <v>375</v>
      </c>
      <c r="W11" s="6">
        <v>690</v>
      </c>
      <c r="X11" s="6">
        <f>COUNT(W11)</f>
        <v>1</v>
      </c>
      <c r="Y11" s="6">
        <f>SUM(W11)</f>
        <v>690</v>
      </c>
      <c r="Z11" s="6">
        <f>($F$31-Y11)/X11</f>
        <v>517710</v>
      </c>
      <c r="AA11" s="6">
        <f>INT(Z11/60/24)</f>
        <v>359</v>
      </c>
      <c r="AB11" s="6">
        <f>Y11/X11</f>
        <v>690</v>
      </c>
      <c r="AC11" s="6">
        <f>Y11-W12</f>
        <v>0</v>
      </c>
      <c r="AD11" s="33">
        <f>SQRT((AC11*AC11)/COUNT(W11))</f>
        <v>0</v>
      </c>
      <c r="AE11" s="6">
        <f>1/AA11</f>
        <v>2.7855153203342618E-3</v>
      </c>
      <c r="AF11" s="6">
        <f>AE11*EXP(-AE11*(365*1))</f>
        <v>1.007749673042332E-3</v>
      </c>
      <c r="AG11" s="6">
        <f>1-EXP(-AE11*(365*1))</f>
        <v>0.63821786737780273</v>
      </c>
      <c r="AH11" s="6">
        <f>EXP(-AE11*(365*1))</f>
        <v>0.36178213262219722</v>
      </c>
      <c r="AI11" s="6">
        <f>$F$31/(Y11+$F$31)*100</f>
        <v>99.867075073686635</v>
      </c>
      <c r="AJ11">
        <f t="shared" si="23"/>
        <v>26</v>
      </c>
      <c r="AK11" s="6">
        <f t="shared" si="3"/>
        <v>0.92937827619019631</v>
      </c>
      <c r="AL11" s="6">
        <f t="shared" si="4"/>
        <v>0.8648048567383021</v>
      </c>
      <c r="AM11" s="6">
        <f t="shared" si="5"/>
        <v>0.93013699397969707</v>
      </c>
      <c r="AN11" s="6">
        <f t="shared" si="6"/>
        <v>0.8648048567383021</v>
      </c>
      <c r="AO11" s="6">
        <f t="shared" si="7"/>
        <v>0.92937827619019631</v>
      </c>
      <c r="AP11" s="6">
        <f t="shared" si="8"/>
        <v>0.93013699397969707</v>
      </c>
      <c r="AQ11" s="6">
        <f t="shared" si="9"/>
        <v>0.93013699397969707</v>
      </c>
      <c r="AR11" s="6">
        <f t="shared" si="10"/>
        <v>0.86338665236528644</v>
      </c>
      <c r="AS11" s="6">
        <f t="shared" si="11"/>
        <v>0.8648048567383021</v>
      </c>
      <c r="AT11" s="6">
        <f t="shared" si="12"/>
        <v>0.93013699397969707</v>
      </c>
      <c r="AU11" s="6">
        <f t="shared" si="13"/>
        <v>0.93013699397969707</v>
      </c>
      <c r="AV11" s="6">
        <f t="shared" si="14"/>
        <v>0.93013699397969707</v>
      </c>
      <c r="AW11" s="6">
        <f t="shared" si="15"/>
        <v>0.92937827619019631</v>
      </c>
      <c r="AX11" s="6">
        <f t="shared" si="16"/>
        <v>0.80373361047673531</v>
      </c>
      <c r="AY11" s="6">
        <f t="shared" si="17"/>
        <v>0.93013699397969707</v>
      </c>
      <c r="AZ11" s="6">
        <f t="shared" si="18"/>
        <v>0.93013699397969707</v>
      </c>
      <c r="BA11" s="6">
        <f t="shared" si="19"/>
        <v>0.92937827619019631</v>
      </c>
      <c r="BB11" s="6">
        <f t="shared" si="20"/>
        <v>0.92401464710292436</v>
      </c>
      <c r="BC11" s="6">
        <f t="shared" si="21"/>
        <v>0.86338665236528644</v>
      </c>
    </row>
    <row r="12" spans="2:55" x14ac:dyDescent="0.25">
      <c r="B12" s="6">
        <f t="shared" si="0"/>
        <v>916</v>
      </c>
      <c r="C12" s="14">
        <v>1</v>
      </c>
      <c r="D12" s="5">
        <v>41106</v>
      </c>
      <c r="E12" s="6" t="s">
        <v>370</v>
      </c>
      <c r="F12" s="33">
        <v>60</v>
      </c>
      <c r="G12" s="31"/>
      <c r="H12" s="31"/>
      <c r="I12" s="31"/>
      <c r="J12" s="31"/>
      <c r="K12" s="31"/>
      <c r="L12" s="6">
        <f t="shared" si="1"/>
        <v>-2940.681818181818</v>
      </c>
      <c r="M12" s="6">
        <f t="shared" si="2"/>
        <v>626.95547021028256</v>
      </c>
      <c r="N12" s="31"/>
      <c r="O12" s="31"/>
      <c r="P12" s="31"/>
      <c r="Q12" s="31"/>
      <c r="R12" s="31"/>
      <c r="T12" s="31"/>
      <c r="U12" s="31"/>
      <c r="V12" s="43" t="s">
        <v>235</v>
      </c>
      <c r="W12" s="6">
        <f>AVERAGE(W11)</f>
        <v>690</v>
      </c>
      <c r="X12" s="31"/>
      <c r="Y12" s="31"/>
      <c r="Z12" s="31"/>
      <c r="AA12" s="31"/>
      <c r="AB12" s="31"/>
      <c r="AC12" s="31"/>
      <c r="AD12" s="31"/>
      <c r="AE12" s="31"/>
      <c r="AF12" s="31"/>
      <c r="AG12" s="31"/>
      <c r="AH12" s="31"/>
      <c r="AI12" s="31"/>
      <c r="AJ12">
        <f t="shared" si="23"/>
        <v>31</v>
      </c>
      <c r="AK12" s="6">
        <f t="shared" si="3"/>
        <v>0.91638019199057019</v>
      </c>
      <c r="AL12" s="6">
        <f t="shared" si="4"/>
        <v>0.84098255907484076</v>
      </c>
      <c r="AM12" s="6">
        <f t="shared" si="5"/>
        <v>0.9172722351583259</v>
      </c>
      <c r="AN12" s="6">
        <f t="shared" si="6"/>
        <v>0.84098255907484076</v>
      </c>
      <c r="AO12" s="6">
        <f t="shared" si="7"/>
        <v>0.91638019199057019</v>
      </c>
      <c r="AP12" s="6">
        <f t="shared" si="8"/>
        <v>0.9172722351583259</v>
      </c>
      <c r="AQ12" s="6">
        <f t="shared" si="9"/>
        <v>0.9172722351583259</v>
      </c>
      <c r="AR12" s="6">
        <f t="shared" si="10"/>
        <v>0.83933846176640059</v>
      </c>
      <c r="AS12" s="6">
        <f t="shared" si="11"/>
        <v>0.84098255907484076</v>
      </c>
      <c r="AT12" s="6">
        <f t="shared" si="12"/>
        <v>0.9172722351583259</v>
      </c>
      <c r="AU12" s="6">
        <f t="shared" si="13"/>
        <v>0.9172722351583259</v>
      </c>
      <c r="AV12" s="6">
        <f t="shared" si="14"/>
        <v>0.9172722351583259</v>
      </c>
      <c r="AW12" s="6">
        <f t="shared" si="15"/>
        <v>0.91638019199057019</v>
      </c>
      <c r="AX12" s="6">
        <f t="shared" si="16"/>
        <v>0.77066291828975986</v>
      </c>
      <c r="AY12" s="6">
        <f t="shared" si="17"/>
        <v>0.9172722351583259</v>
      </c>
      <c r="AZ12" s="6">
        <f t="shared" si="18"/>
        <v>0.9172722351583259</v>
      </c>
      <c r="BA12" s="6">
        <f t="shared" si="19"/>
        <v>0.91638019199057019</v>
      </c>
      <c r="BB12" s="6">
        <f t="shared" si="20"/>
        <v>0.91007804081393084</v>
      </c>
      <c r="BC12" s="6">
        <f t="shared" si="21"/>
        <v>0.83933846176640059</v>
      </c>
    </row>
    <row r="13" spans="2:55" x14ac:dyDescent="0.25">
      <c r="B13" s="6">
        <f t="shared" si="0"/>
        <v>977</v>
      </c>
      <c r="C13" s="14">
        <v>1</v>
      </c>
      <c r="D13" s="5">
        <v>41169</v>
      </c>
      <c r="E13" s="6" t="s">
        <v>370</v>
      </c>
      <c r="F13" s="33">
        <v>60</v>
      </c>
      <c r="G13" s="31"/>
      <c r="H13" s="31"/>
      <c r="I13" s="31"/>
      <c r="J13" s="31"/>
      <c r="K13" s="31"/>
      <c r="L13" s="6">
        <f t="shared" si="1"/>
        <v>-2940.681818181818</v>
      </c>
      <c r="M13" s="6">
        <f t="shared" si="2"/>
        <v>626.95547021028256</v>
      </c>
      <c r="N13" s="31"/>
      <c r="O13" s="31"/>
      <c r="P13" s="31"/>
      <c r="Q13" s="31"/>
      <c r="R13" s="31"/>
      <c r="T13" s="6">
        <f>DAYS360("31-12-2009",U13)</f>
        <v>1840</v>
      </c>
      <c r="U13" s="5">
        <v>42045</v>
      </c>
      <c r="V13" s="6" t="s">
        <v>375</v>
      </c>
      <c r="W13" s="30">
        <v>45</v>
      </c>
      <c r="X13" s="31"/>
      <c r="Y13" s="31"/>
      <c r="Z13" s="31"/>
      <c r="AA13" s="31"/>
      <c r="AB13" s="31"/>
      <c r="AC13" s="31"/>
      <c r="AD13" s="31"/>
      <c r="AE13" s="31"/>
      <c r="AF13" s="31"/>
      <c r="AG13" s="31"/>
      <c r="AH13" s="31"/>
      <c r="AI13" s="31"/>
      <c r="AJ13">
        <f t="shared" si="23"/>
        <v>36</v>
      </c>
      <c r="AK13" s="6">
        <f t="shared" si="3"/>
        <v>0.90356389619421207</v>
      </c>
      <c r="AL13" s="6">
        <f t="shared" si="4"/>
        <v>0.81781648097530157</v>
      </c>
      <c r="AM13" s="6">
        <f t="shared" si="5"/>
        <v>0.9045854092872655</v>
      </c>
      <c r="AN13" s="6">
        <f t="shared" si="6"/>
        <v>0.81781648097530157</v>
      </c>
      <c r="AO13" s="6">
        <f t="shared" si="7"/>
        <v>0.90356389619421207</v>
      </c>
      <c r="AP13" s="6">
        <f t="shared" si="8"/>
        <v>0.9045854092872655</v>
      </c>
      <c r="AQ13" s="6">
        <f t="shared" si="9"/>
        <v>0.9045854092872655</v>
      </c>
      <c r="AR13" s="6">
        <f t="shared" si="10"/>
        <v>0.81596009327965402</v>
      </c>
      <c r="AS13" s="6">
        <f t="shared" si="11"/>
        <v>0.81781648097530157</v>
      </c>
      <c r="AT13" s="6">
        <f t="shared" si="12"/>
        <v>0.9045854092872655</v>
      </c>
      <c r="AU13" s="6">
        <f t="shared" si="13"/>
        <v>0.9045854092872655</v>
      </c>
      <c r="AV13" s="6">
        <f t="shared" si="14"/>
        <v>0.9045854092872655</v>
      </c>
      <c r="AW13" s="6">
        <f t="shared" si="15"/>
        <v>0.90356389619421207</v>
      </c>
      <c r="AX13" s="6">
        <f t="shared" si="16"/>
        <v>0.73895296387394338</v>
      </c>
      <c r="AY13" s="6">
        <f t="shared" si="17"/>
        <v>0.9045854092872655</v>
      </c>
      <c r="AZ13" s="6">
        <f t="shared" si="18"/>
        <v>0.9045854092872655</v>
      </c>
      <c r="BA13" s="6">
        <f t="shared" si="19"/>
        <v>0.90356389619421207</v>
      </c>
      <c r="BB13" s="6">
        <f t="shared" si="20"/>
        <v>0.89635163573274657</v>
      </c>
      <c r="BC13" s="6">
        <f t="shared" si="21"/>
        <v>0.81596009327965402</v>
      </c>
    </row>
    <row r="14" spans="2:55" x14ac:dyDescent="0.25">
      <c r="B14" s="6">
        <f t="shared" si="0"/>
        <v>1016</v>
      </c>
      <c r="C14" s="14">
        <v>1</v>
      </c>
      <c r="D14" s="5">
        <v>41208</v>
      </c>
      <c r="E14" s="6" t="s">
        <v>370</v>
      </c>
      <c r="F14" s="33">
        <v>360</v>
      </c>
      <c r="G14" s="31"/>
      <c r="H14" s="31"/>
      <c r="I14" s="31"/>
      <c r="J14" s="31"/>
      <c r="K14" s="31"/>
      <c r="L14" s="6">
        <f t="shared" si="1"/>
        <v>-2640.681818181818</v>
      </c>
      <c r="M14" s="6">
        <f t="shared" si="2"/>
        <v>562.99525530359949</v>
      </c>
      <c r="N14" s="31"/>
      <c r="O14" s="31"/>
      <c r="P14" s="31"/>
      <c r="Q14" s="31"/>
      <c r="R14" s="31"/>
      <c r="T14" s="6">
        <f>DAYS360("31-12-2009",U14)</f>
        <v>2014</v>
      </c>
      <c r="U14" s="5">
        <v>42220</v>
      </c>
      <c r="V14" s="6" t="s">
        <v>375</v>
      </c>
      <c r="W14" s="30">
        <f>21*60</f>
        <v>1260</v>
      </c>
      <c r="X14" s="6">
        <f>COUNT(W13:W14)</f>
        <v>2</v>
      </c>
      <c r="Y14" s="6">
        <f>SUM(W13:W14)</f>
        <v>1305</v>
      </c>
      <c r="Z14" s="6">
        <f>($F$31-Y14)/X14</f>
        <v>258547.5</v>
      </c>
      <c r="AA14" s="6">
        <f>INT(Z14/60/24)</f>
        <v>179</v>
      </c>
      <c r="AB14" s="6">
        <f>Y14/X14</f>
        <v>652.5</v>
      </c>
      <c r="AC14" s="6">
        <f>Y14-W15</f>
        <v>652.5</v>
      </c>
      <c r="AD14" s="33">
        <f>SQRT((AC14*AC14)/COUNT(W13:W14))</f>
        <v>461.38717472422223</v>
      </c>
      <c r="AE14" s="6">
        <f>1/AA14</f>
        <v>5.5865921787709499E-3</v>
      </c>
      <c r="AF14" s="6">
        <f>AE14*EXP(-AE14*(365*1))</f>
        <v>7.2706698111458005E-4</v>
      </c>
      <c r="AG14" s="6">
        <f>1-EXP(-AE14*(365*1))</f>
        <v>0.86985501038049018</v>
      </c>
      <c r="AH14" s="6">
        <f>EXP(-AE14*(365*1))</f>
        <v>0.13014498961950982</v>
      </c>
      <c r="AI14" s="6">
        <f>$F$31/(Y14+$F$31)*100</f>
        <v>99.7488960083124</v>
      </c>
      <c r="AJ14">
        <f t="shared" si="23"/>
        <v>41</v>
      </c>
      <c r="AK14" s="6">
        <f t="shared" si="3"/>
        <v>0.89092684634770691</v>
      </c>
      <c r="AL14" s="6">
        <f t="shared" si="4"/>
        <v>0.79528854592489329</v>
      </c>
      <c r="AM14" s="6">
        <f t="shared" si="5"/>
        <v>0.89207405536936502</v>
      </c>
      <c r="AN14" s="6">
        <f t="shared" si="6"/>
        <v>0.79528854592489329</v>
      </c>
      <c r="AO14" s="6">
        <f t="shared" si="7"/>
        <v>0.89092684634770691</v>
      </c>
      <c r="AP14" s="6">
        <f t="shared" si="8"/>
        <v>0.89207405536936502</v>
      </c>
      <c r="AQ14" s="6">
        <f t="shared" si="9"/>
        <v>0.89207405536936502</v>
      </c>
      <c r="AR14" s="6">
        <f t="shared" si="10"/>
        <v>0.79323289013084741</v>
      </c>
      <c r="AS14" s="6">
        <f t="shared" si="11"/>
        <v>0.79528854592489329</v>
      </c>
      <c r="AT14" s="6">
        <f t="shared" si="12"/>
        <v>0.89207405536936502</v>
      </c>
      <c r="AU14" s="6">
        <f t="shared" si="13"/>
        <v>0.89207405536936502</v>
      </c>
      <c r="AV14" s="6">
        <f t="shared" si="14"/>
        <v>0.89207405536936502</v>
      </c>
      <c r="AW14" s="6">
        <f t="shared" si="15"/>
        <v>0.89092684634770691</v>
      </c>
      <c r="AX14" s="6">
        <f t="shared" si="16"/>
        <v>0.70854775785744606</v>
      </c>
      <c r="AY14" s="6">
        <f t="shared" si="17"/>
        <v>0.89207405536936502</v>
      </c>
      <c r="AZ14" s="6">
        <f t="shared" si="18"/>
        <v>0.89207405536936502</v>
      </c>
      <c r="BA14" s="6">
        <f t="shared" si="19"/>
        <v>0.89092684634770691</v>
      </c>
      <c r="BB14" s="6">
        <f t="shared" si="20"/>
        <v>0.88283226146430904</v>
      </c>
      <c r="BC14" s="6">
        <f t="shared" si="21"/>
        <v>0.79323289013084741</v>
      </c>
    </row>
    <row r="15" spans="2:55" x14ac:dyDescent="0.25">
      <c r="B15" s="6">
        <f t="shared" si="0"/>
        <v>1141</v>
      </c>
      <c r="C15" s="10">
        <v>1</v>
      </c>
      <c r="D15" s="5">
        <v>41334</v>
      </c>
      <c r="E15" s="6" t="s">
        <v>370</v>
      </c>
      <c r="F15" s="33">
        <f>9*60+30</f>
        <v>570</v>
      </c>
      <c r="G15" s="31"/>
      <c r="H15" s="31"/>
      <c r="I15" s="31"/>
      <c r="J15" s="31"/>
      <c r="K15" s="31"/>
      <c r="L15" s="6">
        <f t="shared" si="1"/>
        <v>-2430.681818181818</v>
      </c>
      <c r="M15" s="6">
        <f t="shared" si="2"/>
        <v>518.22310486892115</v>
      </c>
      <c r="N15" s="31"/>
      <c r="O15" s="31"/>
      <c r="P15" s="31"/>
      <c r="Q15" s="31"/>
      <c r="R15" s="31"/>
      <c r="T15" s="31"/>
      <c r="U15" s="31"/>
      <c r="V15" s="43" t="s">
        <v>235</v>
      </c>
      <c r="W15" s="6">
        <f>AVERAGE(W13:W14)</f>
        <v>652.5</v>
      </c>
      <c r="X15" s="31"/>
      <c r="Y15" s="31"/>
      <c r="Z15" s="31"/>
      <c r="AA15" s="31"/>
      <c r="AB15" s="31"/>
      <c r="AC15" s="31"/>
      <c r="AD15" s="31"/>
      <c r="AE15" s="31"/>
      <c r="AF15" s="31"/>
      <c r="AG15" s="31"/>
      <c r="AH15" s="31"/>
      <c r="AI15" s="31"/>
      <c r="AJ15">
        <f t="shared" si="23"/>
        <v>46</v>
      </c>
      <c r="AK15" s="6">
        <f t="shared" si="3"/>
        <v>0.87846653555584486</v>
      </c>
      <c r="AL15" s="6">
        <f t="shared" si="4"/>
        <v>0.77338117535250839</v>
      </c>
      <c r="AM15" s="6">
        <f t="shared" si="5"/>
        <v>0.87973574644561525</v>
      </c>
      <c r="AN15" s="6">
        <f t="shared" si="6"/>
        <v>0.77338117535250839</v>
      </c>
      <c r="AO15" s="6">
        <f t="shared" si="7"/>
        <v>0.87846653555584486</v>
      </c>
      <c r="AP15" s="6">
        <f t="shared" si="8"/>
        <v>0.87973574644561525</v>
      </c>
      <c r="AQ15" s="6">
        <f t="shared" si="9"/>
        <v>0.87973574644561525</v>
      </c>
      <c r="AR15" s="6">
        <f t="shared" si="10"/>
        <v>0.77113871519901045</v>
      </c>
      <c r="AS15" s="6">
        <f t="shared" si="11"/>
        <v>0.77338117535250839</v>
      </c>
      <c r="AT15" s="6">
        <f t="shared" si="12"/>
        <v>0.87973574644561525</v>
      </c>
      <c r="AU15" s="6">
        <f t="shared" si="13"/>
        <v>0.87973574644561525</v>
      </c>
      <c r="AV15" s="6">
        <f t="shared" si="14"/>
        <v>0.87973574644561525</v>
      </c>
      <c r="AW15" s="6">
        <f t="shared" si="15"/>
        <v>0.87846653555584486</v>
      </c>
      <c r="AX15" s="6">
        <f t="shared" si="16"/>
        <v>0.67939361462586423</v>
      </c>
      <c r="AY15" s="6">
        <f t="shared" si="17"/>
        <v>0.87973574644561525</v>
      </c>
      <c r="AZ15" s="6">
        <f t="shared" si="18"/>
        <v>0.87973574644561525</v>
      </c>
      <c r="BA15" s="6">
        <f t="shared" si="19"/>
        <v>0.87846653555584486</v>
      </c>
      <c r="BB15" s="6">
        <f t="shared" si="20"/>
        <v>0.86951679543157279</v>
      </c>
      <c r="BC15" s="6">
        <f t="shared" si="21"/>
        <v>0.77113871519901045</v>
      </c>
    </row>
    <row r="16" spans="2:55" x14ac:dyDescent="0.25">
      <c r="B16" s="6">
        <f t="shared" si="0"/>
        <v>1187</v>
      </c>
      <c r="C16" s="10">
        <v>1</v>
      </c>
      <c r="D16" s="5">
        <v>41381</v>
      </c>
      <c r="E16" s="6" t="s">
        <v>370</v>
      </c>
      <c r="F16" s="33">
        <v>360</v>
      </c>
      <c r="G16" s="31"/>
      <c r="H16" s="31"/>
      <c r="I16" s="31"/>
      <c r="J16" s="31"/>
      <c r="K16" s="31"/>
      <c r="L16" s="6">
        <f t="shared" si="1"/>
        <v>-2640.681818181818</v>
      </c>
      <c r="M16" s="6">
        <f t="shared" si="2"/>
        <v>562.99525530359949</v>
      </c>
      <c r="N16" s="31"/>
      <c r="O16" s="31"/>
      <c r="P16" s="31"/>
      <c r="Q16" s="31"/>
      <c r="R16" s="31"/>
      <c r="T16" s="6">
        <f>DAYS360("31-12-2009",U16)</f>
        <v>575</v>
      </c>
      <c r="U16" s="5">
        <v>40760</v>
      </c>
      <c r="V16" s="6" t="s">
        <v>381</v>
      </c>
      <c r="W16" s="33">
        <f>5*24*60</f>
        <v>7200</v>
      </c>
      <c r="X16" s="6">
        <f>COUNT(W16)</f>
        <v>1</v>
      </c>
      <c r="Y16" s="6">
        <f>SUM(W16)</f>
        <v>7200</v>
      </c>
      <c r="Z16" s="6">
        <f>($F$31-Y16)/X16</f>
        <v>511200</v>
      </c>
      <c r="AA16" s="6">
        <f>INT(Z16/60/24)</f>
        <v>355</v>
      </c>
      <c r="AB16" s="6">
        <f>Y16/X16</f>
        <v>7200</v>
      </c>
      <c r="AC16" s="6">
        <f>Y16-W17</f>
        <v>0</v>
      </c>
      <c r="AD16" s="33">
        <f>SQRT((AC16*AC16)/COUNT(W16))</f>
        <v>0</v>
      </c>
      <c r="AE16" s="6">
        <f>1/AA16</f>
        <v>2.8169014084507044E-3</v>
      </c>
      <c r="AF16" s="6">
        <f>AE16*EXP(-AE16*(365*1))</f>
        <v>1.0074964340442004E-3</v>
      </c>
      <c r="AG16" s="6">
        <f>1-EXP(-AE16*(365*1))</f>
        <v>0.64233876591430894</v>
      </c>
      <c r="AH16" s="6">
        <f>EXP(-AE16*(365*1))</f>
        <v>0.35766123408569112</v>
      </c>
      <c r="AI16" s="6">
        <f>$F$31/(Y16+$F$31)*100</f>
        <v>98.630136986301366</v>
      </c>
      <c r="AJ16">
        <f t="shared" si="23"/>
        <v>51</v>
      </c>
      <c r="AK16" s="6">
        <f t="shared" si="3"/>
        <v>0.86618049198431224</v>
      </c>
      <c r="AL16" s="6">
        <f t="shared" si="4"/>
        <v>0.752077274914146</v>
      </c>
      <c r="AM16" s="6">
        <f t="shared" si="5"/>
        <v>0.867568089124366</v>
      </c>
      <c r="AN16" s="6">
        <f t="shared" si="6"/>
        <v>0.752077274914146</v>
      </c>
      <c r="AO16" s="6">
        <f t="shared" si="7"/>
        <v>0.86618049198431224</v>
      </c>
      <c r="AP16" s="6">
        <f t="shared" si="8"/>
        <v>0.867568089124366</v>
      </c>
      <c r="AQ16" s="6">
        <f t="shared" si="9"/>
        <v>0.867568089124366</v>
      </c>
      <c r="AR16" s="6">
        <f t="shared" si="10"/>
        <v>0.74965993654233054</v>
      </c>
      <c r="AS16" s="6">
        <f t="shared" si="11"/>
        <v>0.752077274914146</v>
      </c>
      <c r="AT16" s="6">
        <f t="shared" si="12"/>
        <v>0.867568089124366</v>
      </c>
      <c r="AU16" s="6">
        <f t="shared" si="13"/>
        <v>0.867568089124366</v>
      </c>
      <c r="AV16" s="6">
        <f t="shared" si="14"/>
        <v>0.867568089124366</v>
      </c>
      <c r="AW16" s="6">
        <f t="shared" si="15"/>
        <v>0.86618049198431224</v>
      </c>
      <c r="AX16" s="6">
        <f t="shared" si="16"/>
        <v>0.65143905753105558</v>
      </c>
      <c r="AY16" s="6">
        <f t="shared" si="17"/>
        <v>0.867568089124366</v>
      </c>
      <c r="AZ16" s="6">
        <f t="shared" si="18"/>
        <v>0.867568089124366</v>
      </c>
      <c r="BA16" s="6">
        <f t="shared" si="19"/>
        <v>0.86618049198431224</v>
      </c>
      <c r="BB16" s="6">
        <f t="shared" si="20"/>
        <v>0.85640216215428522</v>
      </c>
      <c r="BC16" s="6">
        <f t="shared" si="21"/>
        <v>0.74965993654233054</v>
      </c>
    </row>
    <row r="17" spans="2:55" x14ac:dyDescent="0.25">
      <c r="B17" s="6">
        <f t="shared" si="0"/>
        <v>1237</v>
      </c>
      <c r="C17" s="10">
        <v>1</v>
      </c>
      <c r="D17" s="5">
        <v>41432</v>
      </c>
      <c r="E17" s="6" t="s">
        <v>370</v>
      </c>
      <c r="F17" s="33">
        <v>630</v>
      </c>
      <c r="G17" s="31"/>
      <c r="H17" s="31"/>
      <c r="I17" s="31"/>
      <c r="J17" s="31"/>
      <c r="K17" s="31"/>
      <c r="L17" s="6">
        <f t="shared" si="1"/>
        <v>-2370.681818181818</v>
      </c>
      <c r="M17" s="6">
        <f t="shared" si="2"/>
        <v>505.43106188758463</v>
      </c>
      <c r="N17" s="31"/>
      <c r="O17" s="31"/>
      <c r="P17" s="31"/>
      <c r="Q17" s="31"/>
      <c r="R17" s="31"/>
      <c r="T17" s="31"/>
      <c r="U17" s="31"/>
      <c r="V17" s="43" t="s">
        <v>235</v>
      </c>
      <c r="W17" s="6">
        <f>AVERAGE(W16)</f>
        <v>7200</v>
      </c>
      <c r="X17" s="31"/>
      <c r="Y17" s="31"/>
      <c r="Z17" s="31"/>
      <c r="AA17" s="31"/>
      <c r="AB17" s="31"/>
      <c r="AC17" s="31"/>
      <c r="AD17" s="31"/>
      <c r="AE17" s="31"/>
      <c r="AF17" s="31"/>
      <c r="AG17" s="31"/>
      <c r="AH17" s="31"/>
      <c r="AI17" s="31"/>
      <c r="AJ17">
        <f t="shared" si="23"/>
        <v>56</v>
      </c>
      <c r="AK17" s="6">
        <f t="shared" si="3"/>
        <v>0.8540662783693368</v>
      </c>
      <c r="AL17" s="6">
        <f t="shared" si="4"/>
        <v>0.73136022115417709</v>
      </c>
      <c r="AM17" s="6">
        <f t="shared" si="5"/>
        <v>0.85556872311705456</v>
      </c>
      <c r="AN17" s="6">
        <f t="shared" si="6"/>
        <v>0.73136022115417709</v>
      </c>
      <c r="AO17" s="6">
        <f t="shared" si="7"/>
        <v>0.8540662783693368</v>
      </c>
      <c r="AP17" s="6">
        <f t="shared" si="8"/>
        <v>0.85556872311705456</v>
      </c>
      <c r="AQ17" s="6">
        <f t="shared" si="9"/>
        <v>0.85556872311705456</v>
      </c>
      <c r="AR17" s="6">
        <f t="shared" si="10"/>
        <v>0.72877941332723295</v>
      </c>
      <c r="AS17" s="6">
        <f t="shared" si="11"/>
        <v>0.73136022115417709</v>
      </c>
      <c r="AT17" s="6">
        <f t="shared" si="12"/>
        <v>0.85556872311705456</v>
      </c>
      <c r="AU17" s="6">
        <f t="shared" si="13"/>
        <v>0.85556872311705456</v>
      </c>
      <c r="AV17" s="6">
        <f t="shared" si="14"/>
        <v>0.85556872311705456</v>
      </c>
      <c r="AW17" s="6">
        <f t="shared" si="15"/>
        <v>0.8540662783693368</v>
      </c>
      <c r="AX17" s="6">
        <f t="shared" si="16"/>
        <v>0.62463472800027442</v>
      </c>
      <c r="AY17" s="6">
        <f t="shared" si="17"/>
        <v>0.85556872311705456</v>
      </c>
      <c r="AZ17" s="6">
        <f t="shared" si="18"/>
        <v>0.85556872311705456</v>
      </c>
      <c r="BA17" s="6">
        <f t="shared" si="19"/>
        <v>0.8540662783693368</v>
      </c>
      <c r="BB17" s="6">
        <f t="shared" si="20"/>
        <v>0.84348533253864211</v>
      </c>
      <c r="BC17" s="6">
        <f t="shared" si="21"/>
        <v>0.72877941332723295</v>
      </c>
    </row>
    <row r="18" spans="2:55" x14ac:dyDescent="0.25">
      <c r="B18" s="6">
        <f t="shared" si="0"/>
        <v>1419</v>
      </c>
      <c r="C18" s="10">
        <v>1</v>
      </c>
      <c r="D18" s="5">
        <v>41617</v>
      </c>
      <c r="E18" s="6" t="s">
        <v>370</v>
      </c>
      <c r="F18" s="33">
        <f>11*60</f>
        <v>660</v>
      </c>
      <c r="G18" s="31"/>
      <c r="H18" s="31"/>
      <c r="I18" s="31"/>
      <c r="J18" s="31"/>
      <c r="K18" s="31"/>
      <c r="L18" s="6">
        <f t="shared" si="1"/>
        <v>-2340.681818181818</v>
      </c>
      <c r="M18" s="6">
        <f t="shared" si="2"/>
        <v>499.03504039691632</v>
      </c>
      <c r="N18" s="31"/>
      <c r="O18" s="31"/>
      <c r="P18" s="31"/>
      <c r="Q18" s="31"/>
      <c r="R18" s="31"/>
      <c r="T18" s="6">
        <f>DAYS360("31-12-2009",U18)</f>
        <v>912</v>
      </c>
      <c r="U18" s="5">
        <v>41102</v>
      </c>
      <c r="V18" s="6" t="s">
        <v>381</v>
      </c>
      <c r="W18" s="33">
        <v>120</v>
      </c>
      <c r="X18" s="6">
        <f>COUNT(W18)</f>
        <v>1</v>
      </c>
      <c r="Y18" s="6">
        <f>SUM(W18)</f>
        <v>120</v>
      </c>
      <c r="Z18" s="6">
        <f>($F$31-Y18)/X18</f>
        <v>518280</v>
      </c>
      <c r="AA18" s="6">
        <f>INT(Z18/60/24)</f>
        <v>359</v>
      </c>
      <c r="AB18" s="6">
        <f>Y18/X18</f>
        <v>120</v>
      </c>
      <c r="AC18" s="6">
        <f>Y18-W19</f>
        <v>0</v>
      </c>
      <c r="AD18" s="33">
        <f>SQRT((AC18*AC18)/COUNT(W18))</f>
        <v>0</v>
      </c>
      <c r="AE18" s="6">
        <f>1/AA18</f>
        <v>2.7855153203342618E-3</v>
      </c>
      <c r="AF18" s="6">
        <f>AE18*EXP(-AE18*(365*1))</f>
        <v>1.007749673042332E-3</v>
      </c>
      <c r="AG18" s="6">
        <f>1-EXP(-AE18*(365*1))</f>
        <v>0.63821786737780273</v>
      </c>
      <c r="AH18" s="6">
        <f>EXP(-AE18*(365*1))</f>
        <v>0.36178213262219722</v>
      </c>
      <c r="AI18" s="6">
        <f>$F$31/(Y18+$F$31)*100</f>
        <v>99.976857208979411</v>
      </c>
      <c r="AJ18">
        <f t="shared" si="23"/>
        <v>61</v>
      </c>
      <c r="AK18" s="6">
        <f t="shared" si="3"/>
        <v>0.84212149153419236</v>
      </c>
      <c r="AL18" s="6">
        <f t="shared" si="4"/>
        <v>0.71121384853404512</v>
      </c>
      <c r="AM18" s="6">
        <f t="shared" si="5"/>
        <v>0.84373532078035562</v>
      </c>
      <c r="AN18" s="6">
        <f t="shared" si="6"/>
        <v>0.71121384853404512</v>
      </c>
      <c r="AO18" s="6">
        <f t="shared" si="7"/>
        <v>0.84212149153419236</v>
      </c>
      <c r="AP18" s="6">
        <f t="shared" si="8"/>
        <v>0.84373532078035562</v>
      </c>
      <c r="AQ18" s="6">
        <f t="shared" si="9"/>
        <v>0.84373532078035562</v>
      </c>
      <c r="AR18" s="6">
        <f t="shared" si="10"/>
        <v>0.70848048214938253</v>
      </c>
      <c r="AS18" s="6">
        <f t="shared" si="11"/>
        <v>0.71121384853404512</v>
      </c>
      <c r="AT18" s="6">
        <f t="shared" si="12"/>
        <v>0.84373532078035562</v>
      </c>
      <c r="AU18" s="6">
        <f t="shared" si="13"/>
        <v>0.84373532078035562</v>
      </c>
      <c r="AV18" s="6">
        <f t="shared" si="14"/>
        <v>0.84373532078035562</v>
      </c>
      <c r="AW18" s="6">
        <f t="shared" si="15"/>
        <v>0.84212149153419236</v>
      </c>
      <c r="AX18" s="6">
        <f t="shared" si="16"/>
        <v>0.59893329838513198</v>
      </c>
      <c r="AY18" s="6">
        <f t="shared" si="17"/>
        <v>0.84373532078035562</v>
      </c>
      <c r="AZ18" s="6">
        <f t="shared" si="18"/>
        <v>0.84373532078035562</v>
      </c>
      <c r="BA18" s="6">
        <f t="shared" si="19"/>
        <v>0.84212149153419236</v>
      </c>
      <c r="BB18" s="6">
        <f t="shared" si="20"/>
        <v>0.83076332317765589</v>
      </c>
      <c r="BC18" s="6">
        <f t="shared" si="21"/>
        <v>0.70848048214938253</v>
      </c>
    </row>
    <row r="19" spans="2:55" x14ac:dyDescent="0.25">
      <c r="B19" s="6">
        <f t="shared" si="0"/>
        <v>1566</v>
      </c>
      <c r="C19" s="10">
        <v>1</v>
      </c>
      <c r="D19" s="5">
        <v>41765</v>
      </c>
      <c r="E19" s="6" t="s">
        <v>370</v>
      </c>
      <c r="F19" s="6">
        <v>360</v>
      </c>
      <c r="G19" s="31"/>
      <c r="H19" s="31"/>
      <c r="I19" s="31"/>
      <c r="J19" s="31"/>
      <c r="K19" s="31"/>
      <c r="L19" s="6">
        <f t="shared" si="1"/>
        <v>-2640.681818181818</v>
      </c>
      <c r="M19" s="6">
        <f t="shared" si="2"/>
        <v>562.99525530359949</v>
      </c>
      <c r="N19" s="31"/>
      <c r="O19" s="31"/>
      <c r="P19" s="31"/>
      <c r="Q19" s="31"/>
      <c r="R19" s="31"/>
      <c r="T19" s="31"/>
      <c r="U19" s="31"/>
      <c r="V19" s="43" t="s">
        <v>235</v>
      </c>
      <c r="W19" s="6">
        <f>AVERAGE(W18)</f>
        <v>120</v>
      </c>
      <c r="X19" s="31"/>
      <c r="Y19" s="31"/>
      <c r="Z19" s="31"/>
      <c r="AA19" s="31"/>
      <c r="AB19" s="31"/>
      <c r="AC19" s="31"/>
      <c r="AD19" s="31"/>
      <c r="AE19" s="31"/>
      <c r="AF19" s="31"/>
      <c r="AG19" s="31"/>
      <c r="AH19" s="31"/>
      <c r="AI19" s="31"/>
      <c r="AJ19">
        <f t="shared" si="23"/>
        <v>66</v>
      </c>
      <c r="AK19" s="6">
        <f t="shared" si="3"/>
        <v>0.83034376191246395</v>
      </c>
      <c r="AL19" s="6">
        <f t="shared" si="4"/>
        <v>0.69162243681827928</v>
      </c>
      <c r="AM19" s="6">
        <f t="shared" si="5"/>
        <v>0.83206558666466413</v>
      </c>
      <c r="AN19" s="6">
        <f t="shared" si="6"/>
        <v>0.69162243681827928</v>
      </c>
      <c r="AO19" s="6">
        <f t="shared" si="7"/>
        <v>0.83034376191246395</v>
      </c>
      <c r="AP19" s="6">
        <f t="shared" si="8"/>
        <v>0.83206558666466413</v>
      </c>
      <c r="AQ19" s="6">
        <f t="shared" si="9"/>
        <v>0.83206558666466413</v>
      </c>
      <c r="AR19" s="6">
        <f t="shared" si="10"/>
        <v>0.6887469437356909</v>
      </c>
      <c r="AS19" s="6">
        <f t="shared" si="11"/>
        <v>0.69162243681827928</v>
      </c>
      <c r="AT19" s="6">
        <f t="shared" si="12"/>
        <v>0.83206558666466413</v>
      </c>
      <c r="AU19" s="6">
        <f t="shared" si="13"/>
        <v>0.83206558666466413</v>
      </c>
      <c r="AV19" s="6">
        <f t="shared" si="14"/>
        <v>0.83206558666466413</v>
      </c>
      <c r="AW19" s="6">
        <f t="shared" si="15"/>
        <v>0.83034376191246395</v>
      </c>
      <c r="AX19" s="6">
        <f t="shared" si="16"/>
        <v>0.57428938839650279</v>
      </c>
      <c r="AY19" s="6">
        <f t="shared" si="17"/>
        <v>0.83206558666466413</v>
      </c>
      <c r="AZ19" s="6">
        <f t="shared" si="18"/>
        <v>0.83206558666466413</v>
      </c>
      <c r="BA19" s="6">
        <f t="shared" si="19"/>
        <v>0.83034376191246395</v>
      </c>
      <c r="BB19" s="6">
        <f t="shared" si="20"/>
        <v>0.81823319566207642</v>
      </c>
      <c r="BC19" s="6">
        <f t="shared" si="21"/>
        <v>0.6887469437356909</v>
      </c>
    </row>
    <row r="20" spans="2:55" x14ac:dyDescent="0.25">
      <c r="B20" s="6">
        <f t="shared" si="0"/>
        <v>1620</v>
      </c>
      <c r="C20" s="10">
        <v>1</v>
      </c>
      <c r="D20" s="5">
        <v>41820</v>
      </c>
      <c r="E20" s="6" t="s">
        <v>370</v>
      </c>
      <c r="F20" s="6">
        <v>690</v>
      </c>
      <c r="G20" s="31"/>
      <c r="H20" s="31"/>
      <c r="I20" s="31"/>
      <c r="J20" s="31"/>
      <c r="K20" s="31"/>
      <c r="L20" s="6">
        <f t="shared" si="1"/>
        <v>-2310.681818181818</v>
      </c>
      <c r="M20" s="6">
        <f t="shared" si="2"/>
        <v>492.639018906248</v>
      </c>
      <c r="N20" s="31"/>
      <c r="O20" s="31"/>
      <c r="P20" s="31"/>
      <c r="Q20" s="31"/>
      <c r="R20" s="31"/>
      <c r="T20" s="33">
        <v>1141</v>
      </c>
      <c r="U20" s="5">
        <v>41334</v>
      </c>
      <c r="V20" s="6" t="s">
        <v>381</v>
      </c>
      <c r="W20" s="33">
        <f>9*60+30</f>
        <v>570</v>
      </c>
      <c r="X20" s="6">
        <f>COUNT(W20)</f>
        <v>1</v>
      </c>
      <c r="Y20" s="6">
        <f>SUM(W20)</f>
        <v>570</v>
      </c>
      <c r="Z20" s="6">
        <f>($F$31-Y20)/X20</f>
        <v>517830</v>
      </c>
      <c r="AA20" s="6">
        <f>INT(Z20/60/24)</f>
        <v>359</v>
      </c>
      <c r="AB20" s="6">
        <f>Y20/X20</f>
        <v>570</v>
      </c>
      <c r="AC20" s="6">
        <f>Y20-W21</f>
        <v>0</v>
      </c>
      <c r="AD20" s="33">
        <f>SQRT((AC20*AC20)/COUNT(W20))</f>
        <v>0</v>
      </c>
      <c r="AE20" s="6">
        <f>1/AA20</f>
        <v>2.7855153203342618E-3</v>
      </c>
      <c r="AF20" s="6">
        <f>AE20*EXP(-AE20*(365*1))</f>
        <v>1.007749673042332E-3</v>
      </c>
      <c r="AG20" s="6">
        <f>1-EXP(-AE20*(365*1))</f>
        <v>0.63821786737780273</v>
      </c>
      <c r="AH20" s="6">
        <f>EXP(-AE20*(365*1))</f>
        <v>0.36178213262219722</v>
      </c>
      <c r="AI20" s="6">
        <f>$F$31/(Y20+$F$31)*100</f>
        <v>99.890167061679875</v>
      </c>
      <c r="AJ20">
        <f t="shared" si="23"/>
        <v>71</v>
      </c>
      <c r="AK20" s="6">
        <f t="shared" si="3"/>
        <v>0.81873075307798182</v>
      </c>
      <c r="AL20" s="6">
        <f t="shared" si="4"/>
        <v>0.67257069880797882</v>
      </c>
      <c r="AM20" s="6">
        <f t="shared" si="5"/>
        <v>0.82055725706882254</v>
      </c>
      <c r="AN20" s="6">
        <f t="shared" si="6"/>
        <v>0.67257069880797882</v>
      </c>
      <c r="AO20" s="6">
        <f t="shared" si="7"/>
        <v>0.81873075307798182</v>
      </c>
      <c r="AP20" s="6">
        <f t="shared" si="8"/>
        <v>0.82055725706882254</v>
      </c>
      <c r="AQ20" s="6">
        <f t="shared" si="9"/>
        <v>0.82055725706882254</v>
      </c>
      <c r="AR20" s="6">
        <f t="shared" si="10"/>
        <v>0.66956305001671734</v>
      </c>
      <c r="AS20" s="6">
        <f t="shared" si="11"/>
        <v>0.67257069880797882</v>
      </c>
      <c r="AT20" s="6">
        <f t="shared" si="12"/>
        <v>0.82055725706882254</v>
      </c>
      <c r="AU20" s="6">
        <f t="shared" si="13"/>
        <v>0.82055725706882254</v>
      </c>
      <c r="AV20" s="6">
        <f t="shared" si="14"/>
        <v>0.82055725706882254</v>
      </c>
      <c r="AW20" s="6">
        <f t="shared" si="15"/>
        <v>0.81873075307798182</v>
      </c>
      <c r="AX20" s="6">
        <f t="shared" si="16"/>
        <v>0.55065948497782913</v>
      </c>
      <c r="AY20" s="6">
        <f t="shared" si="17"/>
        <v>0.82055725706882254</v>
      </c>
      <c r="AZ20" s="6">
        <f t="shared" si="18"/>
        <v>0.82055725706882254</v>
      </c>
      <c r="BA20" s="6">
        <f t="shared" si="19"/>
        <v>0.81873075307798182</v>
      </c>
      <c r="BB20" s="6">
        <f t="shared" si="20"/>
        <v>0.8058920559017051</v>
      </c>
      <c r="BC20" s="6">
        <f t="shared" si="21"/>
        <v>0.66956305001671734</v>
      </c>
    </row>
    <row r="21" spans="2:55" x14ac:dyDescent="0.25">
      <c r="B21" s="6">
        <f t="shared" si="0"/>
        <v>1627</v>
      </c>
      <c r="C21" s="10">
        <v>1</v>
      </c>
      <c r="D21" s="5">
        <v>41827</v>
      </c>
      <c r="E21" s="6" t="s">
        <v>370</v>
      </c>
      <c r="F21" s="6">
        <v>44640</v>
      </c>
      <c r="G21" s="31"/>
      <c r="H21" s="31"/>
      <c r="I21" s="31"/>
      <c r="J21" s="31"/>
      <c r="K21" s="31"/>
      <c r="L21" s="6">
        <f t="shared" si="1"/>
        <v>41639.318181818184</v>
      </c>
      <c r="M21" s="6">
        <f t="shared" si="2"/>
        <v>8877.5324649228314</v>
      </c>
      <c r="N21" s="31"/>
      <c r="O21" s="31"/>
      <c r="P21" s="31"/>
      <c r="Q21" s="31"/>
      <c r="R21" s="31"/>
      <c r="T21" s="31"/>
      <c r="U21" s="31"/>
      <c r="V21" s="43" t="s">
        <v>235</v>
      </c>
      <c r="W21" s="6">
        <f>AVERAGE(W20)</f>
        <v>570</v>
      </c>
      <c r="X21" s="31"/>
      <c r="Y21" s="31"/>
      <c r="Z21" s="31"/>
      <c r="AA21" s="31"/>
      <c r="AB21" s="31"/>
      <c r="AC21" s="31"/>
      <c r="AD21" s="31"/>
      <c r="AE21" s="31"/>
      <c r="AF21" s="31"/>
      <c r="AG21" s="31"/>
      <c r="AH21" s="31"/>
      <c r="AI21" s="31"/>
      <c r="AJ21">
        <f t="shared" si="23"/>
        <v>76</v>
      </c>
      <c r="AK21" s="6">
        <f t="shared" si="3"/>
        <v>0.80728016128132896</v>
      </c>
      <c r="AL21" s="6">
        <f t="shared" si="4"/>
        <v>0.65404376841219558</v>
      </c>
      <c r="AM21" s="6">
        <f t="shared" si="5"/>
        <v>0.80920809960100692</v>
      </c>
      <c r="AN21" s="6">
        <f t="shared" si="6"/>
        <v>0.65404376841219558</v>
      </c>
      <c r="AO21" s="6">
        <f t="shared" si="7"/>
        <v>0.80728016128132896</v>
      </c>
      <c r="AP21" s="6">
        <f t="shared" si="8"/>
        <v>0.80920809960100692</v>
      </c>
      <c r="AQ21" s="6">
        <f t="shared" si="9"/>
        <v>0.80920809960100692</v>
      </c>
      <c r="AR21" s="6">
        <f t="shared" si="10"/>
        <v>0.6509134915591458</v>
      </c>
      <c r="AS21" s="6">
        <f t="shared" si="11"/>
        <v>0.65404376841219558</v>
      </c>
      <c r="AT21" s="6">
        <f t="shared" si="12"/>
        <v>0.80920809960100692</v>
      </c>
      <c r="AU21" s="6">
        <f t="shared" si="13"/>
        <v>0.80920809960100692</v>
      </c>
      <c r="AV21" s="6">
        <f t="shared" si="14"/>
        <v>0.80920809960100692</v>
      </c>
      <c r="AW21" s="6">
        <f t="shared" si="15"/>
        <v>0.80728016128132896</v>
      </c>
      <c r="AX21" s="6">
        <f t="shared" si="16"/>
        <v>0.52800186547534433</v>
      </c>
      <c r="AY21" s="6">
        <f t="shared" si="17"/>
        <v>0.80920809960100692</v>
      </c>
      <c r="AZ21" s="6">
        <f t="shared" si="18"/>
        <v>0.80920809960100692</v>
      </c>
      <c r="BA21" s="6">
        <f t="shared" si="19"/>
        <v>0.80728016128132896</v>
      </c>
      <c r="BB21" s="6">
        <f t="shared" si="20"/>
        <v>0.79373705345694567</v>
      </c>
      <c r="BC21" s="6">
        <f t="shared" si="21"/>
        <v>0.6509134915591458</v>
      </c>
    </row>
    <row r="22" spans="2:55" x14ac:dyDescent="0.25">
      <c r="B22" s="6">
        <f t="shared" si="0"/>
        <v>1651</v>
      </c>
      <c r="C22" s="10">
        <v>1</v>
      </c>
      <c r="D22" s="5">
        <v>41852</v>
      </c>
      <c r="E22" s="6" t="s">
        <v>370</v>
      </c>
      <c r="F22" s="6">
        <v>240</v>
      </c>
      <c r="G22" s="31"/>
      <c r="H22" s="31"/>
      <c r="I22" s="31"/>
      <c r="J22" s="31"/>
      <c r="K22" s="31"/>
      <c r="L22" s="6">
        <f t="shared" si="1"/>
        <v>-2760.681818181818</v>
      </c>
      <c r="M22" s="6">
        <f t="shared" si="2"/>
        <v>588.57934126627265</v>
      </c>
      <c r="N22" s="31"/>
      <c r="O22" s="31"/>
      <c r="P22" s="31"/>
      <c r="Q22" s="31"/>
      <c r="R22" s="31"/>
      <c r="T22" s="6">
        <f>DAYS360("31-12-2009",U22)</f>
        <v>575</v>
      </c>
      <c r="U22" s="5">
        <v>40760</v>
      </c>
      <c r="V22" s="6" t="s">
        <v>383</v>
      </c>
      <c r="W22" s="33">
        <f>5*24*60</f>
        <v>7200</v>
      </c>
      <c r="X22" s="31"/>
      <c r="Y22" s="31"/>
      <c r="Z22" s="31"/>
      <c r="AA22" s="31"/>
      <c r="AB22" s="31"/>
      <c r="AC22" s="31"/>
      <c r="AD22" s="31"/>
      <c r="AE22" s="31"/>
      <c r="AF22" s="31"/>
      <c r="AG22" s="31"/>
      <c r="AH22" s="31"/>
      <c r="AI22" s="31"/>
      <c r="AJ22">
        <f t="shared" si="23"/>
        <v>81</v>
      </c>
      <c r="AK22" s="6">
        <f t="shared" si="3"/>
        <v>0.79598971499283078</v>
      </c>
      <c r="AL22" s="6">
        <f t="shared" si="4"/>
        <v>0.63602718904790756</v>
      </c>
      <c r="AM22" s="6">
        <f t="shared" si="5"/>
        <v>0.79801591274568617</v>
      </c>
      <c r="AN22" s="6">
        <f t="shared" si="6"/>
        <v>0.63602718904790756</v>
      </c>
      <c r="AO22" s="6">
        <f t="shared" si="7"/>
        <v>0.79598971499283078</v>
      </c>
      <c r="AP22" s="6">
        <f t="shared" si="8"/>
        <v>0.79801591274568617</v>
      </c>
      <c r="AQ22" s="6">
        <f t="shared" si="9"/>
        <v>0.79801591274568617</v>
      </c>
      <c r="AR22" s="6">
        <f t="shared" si="10"/>
        <v>0.6327833853483098</v>
      </c>
      <c r="AS22" s="6">
        <f t="shared" si="11"/>
        <v>0.63602718904790756</v>
      </c>
      <c r="AT22" s="6">
        <f t="shared" si="12"/>
        <v>0.79801591274568617</v>
      </c>
      <c r="AU22" s="6">
        <f t="shared" si="13"/>
        <v>0.79801591274568617</v>
      </c>
      <c r="AV22" s="6">
        <f t="shared" si="14"/>
        <v>0.79801591274568617</v>
      </c>
      <c r="AW22" s="6">
        <f t="shared" si="15"/>
        <v>0.79598971499283078</v>
      </c>
      <c r="AX22" s="6">
        <f t="shared" si="16"/>
        <v>0.50627652396956024</v>
      </c>
      <c r="AY22" s="6">
        <f t="shared" si="17"/>
        <v>0.79801591274568617</v>
      </c>
      <c r="AZ22" s="6">
        <f t="shared" si="18"/>
        <v>0.79801591274568617</v>
      </c>
      <c r="BA22" s="6">
        <f t="shared" si="19"/>
        <v>0.79598971499283078</v>
      </c>
      <c r="BB22" s="6">
        <f t="shared" si="20"/>
        <v>0.78176538088043612</v>
      </c>
      <c r="BC22" s="6">
        <f t="shared" si="21"/>
        <v>0.6327833853483098</v>
      </c>
    </row>
    <row r="23" spans="2:55" x14ac:dyDescent="0.25">
      <c r="B23" s="6">
        <f t="shared" si="0"/>
        <v>1840</v>
      </c>
      <c r="C23" s="10">
        <v>1</v>
      </c>
      <c r="D23" s="5">
        <v>42045</v>
      </c>
      <c r="E23" s="6" t="s">
        <v>370</v>
      </c>
      <c r="F23" s="30">
        <v>45</v>
      </c>
      <c r="G23" s="31"/>
      <c r="H23" s="31"/>
      <c r="I23" s="31"/>
      <c r="J23" s="31"/>
      <c r="K23" s="31"/>
      <c r="L23" s="6">
        <f t="shared" si="1"/>
        <v>-2955.681818181818</v>
      </c>
      <c r="M23" s="6">
        <f t="shared" si="2"/>
        <v>630.15348095561671</v>
      </c>
      <c r="N23" s="31"/>
      <c r="O23" s="31"/>
      <c r="P23" s="31"/>
      <c r="Q23" s="31"/>
      <c r="R23" s="31"/>
      <c r="T23" s="6">
        <f>DAYS360("31-12-2009",U23)</f>
        <v>599</v>
      </c>
      <c r="U23" s="5">
        <v>40784</v>
      </c>
      <c r="V23" s="6" t="s">
        <v>383</v>
      </c>
      <c r="W23" s="33">
        <v>180</v>
      </c>
      <c r="X23" s="6">
        <f>COUNT(W22:W23)</f>
        <v>2</v>
      </c>
      <c r="Y23" s="6">
        <f>SUM(W22:W23)</f>
        <v>7380</v>
      </c>
      <c r="Z23" s="6">
        <f>($F$31-Y23)/X23</f>
        <v>255510</v>
      </c>
      <c r="AA23" s="6">
        <f>INT(Z23/60/24)</f>
        <v>177</v>
      </c>
      <c r="AB23" s="6">
        <f>Y23/X23</f>
        <v>3690</v>
      </c>
      <c r="AC23" s="6">
        <f>Y23-W24</f>
        <v>3690</v>
      </c>
      <c r="AD23" s="33">
        <f>SQRT((AC23*AC23)/COUNT(W22:W23))</f>
        <v>2609.2240225783603</v>
      </c>
      <c r="AE23" s="6">
        <f>1/AA23</f>
        <v>5.6497175141242938E-3</v>
      </c>
      <c r="AF23" s="6">
        <f>AE23*EXP(-AE23*(365*1))</f>
        <v>7.1853465209027485E-4</v>
      </c>
      <c r="AG23" s="6">
        <f>1-EXP(-AE23*(365*1))</f>
        <v>0.87281936658002135</v>
      </c>
      <c r="AH23" s="6">
        <f>EXP(-AE23*(365*1))</f>
        <v>0.12718063341997865</v>
      </c>
      <c r="AI23" s="6">
        <f>$F$31/(Y23+$F$31)*100</f>
        <v>98.596371105785678</v>
      </c>
      <c r="AJ23">
        <f t="shared" si="23"/>
        <v>86</v>
      </c>
      <c r="AK23" s="6">
        <f t="shared" si="3"/>
        <v>0.78485717445193715</v>
      </c>
      <c r="AL23" s="6">
        <f t="shared" si="4"/>
        <v>0.61850690235953287</v>
      </c>
      <c r="AM23" s="6">
        <f t="shared" si="5"/>
        <v>0.78697852543657143</v>
      </c>
      <c r="AN23" s="6">
        <f t="shared" si="6"/>
        <v>0.61850690235953287</v>
      </c>
      <c r="AO23" s="6">
        <f t="shared" si="7"/>
        <v>0.78485717445193715</v>
      </c>
      <c r="AP23" s="6">
        <f t="shared" si="8"/>
        <v>0.78697852543657143</v>
      </c>
      <c r="AQ23" s="6">
        <f t="shared" si="9"/>
        <v>0.78697852543657143</v>
      </c>
      <c r="AR23" s="6">
        <f t="shared" si="10"/>
        <v>0.61515826291101483</v>
      </c>
      <c r="AS23" s="6">
        <f t="shared" si="11"/>
        <v>0.61850690235953287</v>
      </c>
      <c r="AT23" s="6">
        <f t="shared" si="12"/>
        <v>0.78697852543657143</v>
      </c>
      <c r="AU23" s="6">
        <f t="shared" si="13"/>
        <v>0.78697852543657143</v>
      </c>
      <c r="AV23" s="6">
        <f t="shared" si="14"/>
        <v>0.78697852543657143</v>
      </c>
      <c r="AW23" s="6">
        <f t="shared" si="15"/>
        <v>0.78485717445193715</v>
      </c>
      <c r="AX23" s="6">
        <f t="shared" si="16"/>
        <v>0.48544510063794399</v>
      </c>
      <c r="AY23" s="6">
        <f t="shared" si="17"/>
        <v>0.78697852543657143</v>
      </c>
      <c r="AZ23" s="6">
        <f t="shared" si="18"/>
        <v>0.78697852543657143</v>
      </c>
      <c r="BA23" s="6">
        <f t="shared" si="19"/>
        <v>0.78485717445193715</v>
      </c>
      <c r="BB23" s="6">
        <f t="shared" si="20"/>
        <v>0.76997427306861144</v>
      </c>
      <c r="BC23" s="6">
        <f t="shared" si="21"/>
        <v>0.61515826291101483</v>
      </c>
    </row>
    <row r="24" spans="2:55" x14ac:dyDescent="0.25">
      <c r="B24" s="6">
        <f t="shared" si="0"/>
        <v>1924</v>
      </c>
      <c r="C24" s="10">
        <v>1</v>
      </c>
      <c r="D24" s="5">
        <v>42128</v>
      </c>
      <c r="E24" s="6" t="s">
        <v>370</v>
      </c>
      <c r="F24" s="30">
        <v>360</v>
      </c>
      <c r="G24" s="31"/>
      <c r="H24" s="31"/>
      <c r="I24" s="31"/>
      <c r="J24" s="31"/>
      <c r="K24" s="31"/>
      <c r="L24" s="6">
        <f t="shared" si="1"/>
        <v>-2640.681818181818</v>
      </c>
      <c r="M24" s="6">
        <f t="shared" si="2"/>
        <v>562.99525530359949</v>
      </c>
      <c r="N24" s="31"/>
      <c r="O24" s="31"/>
      <c r="P24" s="31"/>
      <c r="Q24" s="31"/>
      <c r="R24" s="31"/>
      <c r="T24" s="31"/>
      <c r="U24" s="31"/>
      <c r="V24" s="43" t="s">
        <v>235</v>
      </c>
      <c r="W24" s="6">
        <f>AVERAGE(W22:W23)</f>
        <v>3690</v>
      </c>
      <c r="X24" s="31"/>
      <c r="Y24" s="31"/>
      <c r="Z24" s="31"/>
      <c r="AA24" s="31"/>
      <c r="AB24" s="31"/>
      <c r="AC24" s="31"/>
      <c r="AD24" s="31"/>
      <c r="AE24" s="31"/>
      <c r="AF24" s="31"/>
      <c r="AG24" s="31"/>
      <c r="AH24" s="31"/>
      <c r="AI24" s="31"/>
      <c r="AJ24">
        <f t="shared" si="23"/>
        <v>91</v>
      </c>
      <c r="AK24" s="6">
        <f t="shared" si="3"/>
        <v>0.77388033122290611</v>
      </c>
      <c r="AL24" s="6">
        <f t="shared" si="4"/>
        <v>0.60146923724917967</v>
      </c>
      <c r="AM24" s="6">
        <f t="shared" si="5"/>
        <v>0.77609379663547085</v>
      </c>
      <c r="AN24" s="6">
        <f t="shared" si="6"/>
        <v>0.60146923724917967</v>
      </c>
      <c r="AO24" s="6">
        <f t="shared" si="7"/>
        <v>0.77388033122290611</v>
      </c>
      <c r="AP24" s="6">
        <f t="shared" si="8"/>
        <v>0.77609379663547085</v>
      </c>
      <c r="AQ24" s="6">
        <f t="shared" si="9"/>
        <v>0.77609379663547085</v>
      </c>
      <c r="AR24" s="6">
        <f t="shared" si="10"/>
        <v>0.59802405876917819</v>
      </c>
      <c r="AS24" s="6">
        <f t="shared" si="11"/>
        <v>0.60146923724917967</v>
      </c>
      <c r="AT24" s="6">
        <f t="shared" si="12"/>
        <v>0.77609379663547085</v>
      </c>
      <c r="AU24" s="6">
        <f t="shared" si="13"/>
        <v>0.77609379663547085</v>
      </c>
      <c r="AV24" s="6">
        <f t="shared" si="14"/>
        <v>0.77609379663547085</v>
      </c>
      <c r="AW24" s="6">
        <f t="shared" si="15"/>
        <v>0.77388033122290611</v>
      </c>
      <c r="AX24" s="6">
        <f t="shared" si="16"/>
        <v>0.46547081402406171</v>
      </c>
      <c r="AY24" s="6">
        <f t="shared" si="17"/>
        <v>0.77609379663547085</v>
      </c>
      <c r="AZ24" s="6">
        <f t="shared" si="18"/>
        <v>0.77609379663547085</v>
      </c>
      <c r="BA24" s="6">
        <f t="shared" si="19"/>
        <v>0.77388033122290611</v>
      </c>
      <c r="BB24" s="6">
        <f t="shared" si="20"/>
        <v>0.75836100662304617</v>
      </c>
      <c r="BC24" s="6">
        <f t="shared" si="21"/>
        <v>0.59802405876917819</v>
      </c>
    </row>
    <row r="25" spans="2:55" x14ac:dyDescent="0.25">
      <c r="B25" s="6">
        <f t="shared" si="0"/>
        <v>2014</v>
      </c>
      <c r="C25" s="10">
        <v>1</v>
      </c>
      <c r="D25" s="5">
        <v>42220</v>
      </c>
      <c r="E25" s="6" t="s">
        <v>370</v>
      </c>
      <c r="F25" s="30">
        <f>21*60</f>
        <v>1260</v>
      </c>
      <c r="G25" s="31"/>
      <c r="H25" s="31"/>
      <c r="I25" s="31"/>
      <c r="J25" s="31"/>
      <c r="K25" s="31"/>
      <c r="L25" s="6">
        <f t="shared" si="1"/>
        <v>-1740.681818181818</v>
      </c>
      <c r="M25" s="6">
        <f t="shared" si="2"/>
        <v>371.11461058355002</v>
      </c>
      <c r="N25" s="31"/>
      <c r="O25" s="31"/>
      <c r="P25" s="31"/>
      <c r="Q25" s="31"/>
      <c r="R25" s="31"/>
      <c r="T25" s="6">
        <f>DAYS360("31-12-2009",U25)</f>
        <v>1187</v>
      </c>
      <c r="U25" s="5">
        <v>41381</v>
      </c>
      <c r="V25" s="6" t="s">
        <v>383</v>
      </c>
      <c r="W25" s="33">
        <v>360</v>
      </c>
      <c r="X25" s="31"/>
      <c r="Y25" s="31"/>
      <c r="Z25" s="31"/>
      <c r="AA25" s="31"/>
      <c r="AB25" s="31"/>
      <c r="AC25" s="31"/>
      <c r="AD25" s="31"/>
      <c r="AE25" s="31"/>
      <c r="AF25" s="31"/>
      <c r="AG25" s="31"/>
      <c r="AH25" s="31"/>
      <c r="AI25" s="31"/>
      <c r="AJ25">
        <f t="shared" si="23"/>
        <v>96</v>
      </c>
      <c r="AK25" s="6">
        <f t="shared" si="3"/>
        <v>0.76305700775670182</v>
      </c>
      <c r="AL25" s="6">
        <f t="shared" si="4"/>
        <v>0.5849008992090744</v>
      </c>
      <c r="AM25" s="6">
        <f t="shared" si="5"/>
        <v>0.76535961491697058</v>
      </c>
      <c r="AN25" s="6">
        <f t="shared" si="6"/>
        <v>0.5849008992090744</v>
      </c>
      <c r="AO25" s="6">
        <f t="shared" si="7"/>
        <v>0.76305700775670182</v>
      </c>
      <c r="AP25" s="6">
        <f t="shared" si="8"/>
        <v>0.76535961491697058</v>
      </c>
      <c r="AQ25" s="6">
        <f t="shared" si="9"/>
        <v>0.76535961491697058</v>
      </c>
      <c r="AR25" s="6">
        <f t="shared" si="10"/>
        <v>0.58136709921507568</v>
      </c>
      <c r="AS25" s="6">
        <f t="shared" si="11"/>
        <v>0.5849008992090744</v>
      </c>
      <c r="AT25" s="6">
        <f t="shared" si="12"/>
        <v>0.76535961491697058</v>
      </c>
      <c r="AU25" s="6">
        <f t="shared" si="13"/>
        <v>0.76535961491697058</v>
      </c>
      <c r="AV25" s="6">
        <f t="shared" si="14"/>
        <v>0.76535961491697058</v>
      </c>
      <c r="AW25" s="6">
        <f t="shared" si="15"/>
        <v>0.76305700775670182</v>
      </c>
      <c r="AX25" s="6">
        <f t="shared" si="16"/>
        <v>0.44631839609359841</v>
      </c>
      <c r="AY25" s="6">
        <f t="shared" si="17"/>
        <v>0.76535961491697058</v>
      </c>
      <c r="AZ25" s="6">
        <f t="shared" si="18"/>
        <v>0.76535961491697058</v>
      </c>
      <c r="BA25" s="6">
        <f t="shared" si="19"/>
        <v>0.76305700775670182</v>
      </c>
      <c r="BB25" s="6">
        <f t="shared" si="20"/>
        <v>0.74692289922142951</v>
      </c>
      <c r="BC25" s="6">
        <f t="shared" si="21"/>
        <v>0.58136709921507568</v>
      </c>
    </row>
    <row r="26" spans="2:55" x14ac:dyDescent="0.25">
      <c r="B26" s="6">
        <f t="shared" si="0"/>
        <v>2119</v>
      </c>
      <c r="C26" s="10">
        <v>1</v>
      </c>
      <c r="D26" s="5">
        <v>42327</v>
      </c>
      <c r="E26" s="6" t="s">
        <v>370</v>
      </c>
      <c r="F26" s="30">
        <f>5*25*60</f>
        <v>7500</v>
      </c>
      <c r="G26" s="31"/>
      <c r="H26" s="31"/>
      <c r="I26" s="31"/>
      <c r="J26" s="31"/>
      <c r="K26" s="31"/>
      <c r="L26" s="6">
        <f t="shared" si="1"/>
        <v>4499.318181818182</v>
      </c>
      <c r="M26" s="6">
        <f t="shared" si="2"/>
        <v>959.25785947545899</v>
      </c>
      <c r="N26" s="31"/>
      <c r="O26" s="31"/>
      <c r="P26" s="31"/>
      <c r="Q26" s="31"/>
      <c r="R26" s="31"/>
      <c r="T26" s="6">
        <f>DAYS360("31-12-2009",U26)</f>
        <v>1419</v>
      </c>
      <c r="U26" s="5">
        <v>41617</v>
      </c>
      <c r="V26" s="6" t="s">
        <v>383</v>
      </c>
      <c r="W26" s="33">
        <f>11*60</f>
        <v>660</v>
      </c>
      <c r="X26" s="6">
        <f>COUNT(W25:W26)</f>
        <v>2</v>
      </c>
      <c r="Y26" s="6">
        <f>SUM(W25:W26)</f>
        <v>1020</v>
      </c>
      <c r="Z26" s="6">
        <f>($F$31-Y26)/X26</f>
        <v>258690</v>
      </c>
      <c r="AA26" s="6">
        <f>INT(Z26/60/24)</f>
        <v>179</v>
      </c>
      <c r="AB26" s="6">
        <f>Y26/X26</f>
        <v>510</v>
      </c>
      <c r="AC26" s="6">
        <f>Y26-W27</f>
        <v>510</v>
      </c>
      <c r="AD26" s="33">
        <f>SQRT((AC26*AC26)/COUNT(W25:W26))</f>
        <v>360.62445840513925</v>
      </c>
      <c r="AE26" s="6">
        <f>1/AA26</f>
        <v>5.5865921787709499E-3</v>
      </c>
      <c r="AF26" s="6">
        <f>AE26*EXP(-AE26*(365*1))</f>
        <v>7.2706698111458005E-4</v>
      </c>
      <c r="AG26" s="6">
        <f>1-EXP(-AE26*(365*1))</f>
        <v>0.86985501038049018</v>
      </c>
      <c r="AH26" s="6">
        <f>EXP(-AE26*(365*1))</f>
        <v>0.13014498961950982</v>
      </c>
      <c r="AI26" s="6">
        <f>$F$31/(Y26+$F$31)*100</f>
        <v>99.803627122559774</v>
      </c>
      <c r="AJ26">
        <f t="shared" si="23"/>
        <v>101</v>
      </c>
      <c r="AK26" s="6">
        <f t="shared" si="3"/>
        <v>0.75238505695901969</v>
      </c>
      <c r="AL26" s="6">
        <f t="shared" si="4"/>
        <v>0.56878895994784373</v>
      </c>
      <c r="AM26" s="6">
        <f t="shared" si="5"/>
        <v>0.75477389805885875</v>
      </c>
      <c r="AN26" s="6">
        <f t="shared" si="6"/>
        <v>0.56878895994784373</v>
      </c>
      <c r="AO26" s="6">
        <f t="shared" si="7"/>
        <v>0.75238505695901969</v>
      </c>
      <c r="AP26" s="6">
        <f t="shared" si="8"/>
        <v>0.75477389805885875</v>
      </c>
      <c r="AQ26" s="6">
        <f t="shared" si="9"/>
        <v>0.75477389805885875</v>
      </c>
      <c r="AR26" s="6">
        <f t="shared" si="10"/>
        <v>0.56517409139923269</v>
      </c>
      <c r="AS26" s="6">
        <f t="shared" si="11"/>
        <v>0.56878895994784373</v>
      </c>
      <c r="AT26" s="6">
        <f t="shared" si="12"/>
        <v>0.75477389805885875</v>
      </c>
      <c r="AU26" s="6">
        <f t="shared" si="13"/>
        <v>0.75477389805885875</v>
      </c>
      <c r="AV26" s="6">
        <f t="shared" si="14"/>
        <v>0.75477389805885875</v>
      </c>
      <c r="AW26" s="6">
        <f t="shared" si="15"/>
        <v>0.75238505695901969</v>
      </c>
      <c r="AX26" s="6">
        <f t="shared" si="16"/>
        <v>0.42795402996258514</v>
      </c>
      <c r="AY26" s="6">
        <f t="shared" si="17"/>
        <v>0.75477389805885875</v>
      </c>
      <c r="AZ26" s="6">
        <f t="shared" si="18"/>
        <v>0.75477389805885875</v>
      </c>
      <c r="BA26" s="6">
        <f t="shared" si="19"/>
        <v>0.75238505695901969</v>
      </c>
      <c r="BB26" s="6">
        <f t="shared" si="20"/>
        <v>0.73565730899802795</v>
      </c>
      <c r="BC26" s="6">
        <f t="shared" si="21"/>
        <v>0.56517409139923269</v>
      </c>
    </row>
    <row r="27" spans="2:55" x14ac:dyDescent="0.25">
      <c r="B27" s="6">
        <f>DAYS360("31-12-2009",D27)</f>
        <v>2133</v>
      </c>
      <c r="C27" s="10">
        <v>1</v>
      </c>
      <c r="D27" s="5">
        <v>42341</v>
      </c>
      <c r="E27" s="6" t="s">
        <v>370</v>
      </c>
      <c r="F27" s="30">
        <v>180</v>
      </c>
      <c r="G27" s="31"/>
      <c r="H27" s="31"/>
      <c r="I27" s="31"/>
      <c r="J27" s="31"/>
      <c r="K27" s="31"/>
      <c r="L27" s="6">
        <f t="shared" si="1"/>
        <v>-2820.681818181818</v>
      </c>
      <c r="M27" s="6">
        <f t="shared" si="2"/>
        <v>601.37138424760929</v>
      </c>
      <c r="N27" s="31"/>
      <c r="O27" s="31"/>
      <c r="P27" s="31"/>
      <c r="Q27" s="31"/>
      <c r="R27" s="33">
        <f>F30/(F29+F30)*100</f>
        <v>97.516379704403477</v>
      </c>
      <c r="T27" s="31"/>
      <c r="U27" s="31"/>
      <c r="V27" s="43" t="s">
        <v>235</v>
      </c>
      <c r="W27" s="6">
        <f>AVERAGE(W25:W26)</f>
        <v>510</v>
      </c>
      <c r="X27" s="31"/>
      <c r="Y27" s="31"/>
      <c r="Z27" s="31"/>
      <c r="AA27" s="31"/>
      <c r="AB27" s="31"/>
      <c r="AC27" s="31"/>
      <c r="AD27" s="31"/>
      <c r="AE27" s="31"/>
      <c r="AF27" s="31"/>
      <c r="AG27" s="31"/>
      <c r="AH27" s="31"/>
      <c r="AI27" s="31"/>
      <c r="AJ27">
        <f t="shared" si="23"/>
        <v>106</v>
      </c>
      <c r="AK27" s="6">
        <f t="shared" si="3"/>
        <v>0.7418623617643535</v>
      </c>
      <c r="AL27" s="6">
        <f t="shared" si="4"/>
        <v>0.5531208473025554</v>
      </c>
      <c r="AM27" s="6">
        <f t="shared" si="5"/>
        <v>0.74433459263821511</v>
      </c>
      <c r="AN27" s="6">
        <f t="shared" si="6"/>
        <v>0.5531208473025554</v>
      </c>
      <c r="AO27" s="6">
        <f t="shared" si="7"/>
        <v>0.7418623617643535</v>
      </c>
      <c r="AP27" s="6">
        <f t="shared" si="8"/>
        <v>0.74433459263821511</v>
      </c>
      <c r="AQ27" s="6">
        <f t="shared" si="9"/>
        <v>0.74433459263821511</v>
      </c>
      <c r="AR27" s="6">
        <f t="shared" si="10"/>
        <v>0.54943211272225567</v>
      </c>
      <c r="AS27" s="6">
        <f t="shared" si="11"/>
        <v>0.5531208473025554</v>
      </c>
      <c r="AT27" s="6">
        <f t="shared" si="12"/>
        <v>0.74433459263821511</v>
      </c>
      <c r="AU27" s="6">
        <f t="shared" si="13"/>
        <v>0.74433459263821511</v>
      </c>
      <c r="AV27" s="6">
        <f t="shared" si="14"/>
        <v>0.74433459263821511</v>
      </c>
      <c r="AW27" s="6">
        <f t="shared" si="15"/>
        <v>0.7418623617643535</v>
      </c>
      <c r="AX27" s="6">
        <f t="shared" si="16"/>
        <v>0.41034529018788096</v>
      </c>
      <c r="AY27" s="6">
        <f t="shared" si="17"/>
        <v>0.74433459263821511</v>
      </c>
      <c r="AZ27" s="6">
        <f t="shared" si="18"/>
        <v>0.74433459263821511</v>
      </c>
      <c r="BA27" s="6">
        <f t="shared" si="19"/>
        <v>0.7418623617643535</v>
      </c>
      <c r="BB27" s="6">
        <f t="shared" si="20"/>
        <v>0.72456163393349193</v>
      </c>
      <c r="BC27" s="6">
        <f t="shared" si="21"/>
        <v>0.54943211272225567</v>
      </c>
    </row>
    <row r="28" spans="2:55" x14ac:dyDescent="0.25">
      <c r="E28" s="73" t="s">
        <v>235</v>
      </c>
      <c r="F28" s="74">
        <f>AVERAGE(F6:F27)</f>
        <v>3000.681818181818</v>
      </c>
      <c r="T28" s="6">
        <f>DAYS360("31-12-2009",U28)</f>
        <v>1566</v>
      </c>
      <c r="U28" s="5">
        <v>41765</v>
      </c>
      <c r="V28" s="6" t="s">
        <v>383</v>
      </c>
      <c r="W28" s="6">
        <v>360</v>
      </c>
      <c r="X28" s="6">
        <f>COUNT(W28)</f>
        <v>1</v>
      </c>
      <c r="Y28" s="6">
        <f>SUM(W28)</f>
        <v>360</v>
      </c>
      <c r="Z28" s="6">
        <f>($F$31-Y28)/X28</f>
        <v>518040</v>
      </c>
      <c r="AA28" s="6">
        <f>INT(Z28/60/24)</f>
        <v>359</v>
      </c>
      <c r="AB28" s="6">
        <f>Y28/X28</f>
        <v>360</v>
      </c>
      <c r="AC28" s="6">
        <f>Y28-W29</f>
        <v>0</v>
      </c>
      <c r="AD28" s="33">
        <f>SQRT((AC28*AC28)/COUNT(W28))</f>
        <v>0</v>
      </c>
      <c r="AE28" s="6">
        <f>1/AA28</f>
        <v>2.7855153203342618E-3</v>
      </c>
      <c r="AF28" s="6">
        <f>AE28*EXP(-AE28*(365*1))</f>
        <v>1.007749673042332E-3</v>
      </c>
      <c r="AG28" s="6">
        <f>1-EXP(-AE28*(365*1))</f>
        <v>0.63821786737780273</v>
      </c>
      <c r="AH28" s="6">
        <f>EXP(-AE28*(365*1))</f>
        <v>0.36178213262219722</v>
      </c>
      <c r="AI28" s="6">
        <f>$F$31/(Y28+$F$31)*100</f>
        <v>99.93060374739764</v>
      </c>
      <c r="AJ28">
        <f t="shared" si="23"/>
        <v>111</v>
      </c>
      <c r="AK28" s="6">
        <f t="shared" si="3"/>
        <v>0.73148683471601827</v>
      </c>
      <c r="AL28" s="6">
        <f t="shared" si="4"/>
        <v>0.53788433542864633</v>
      </c>
      <c r="AM28" s="6">
        <f t="shared" si="5"/>
        <v>0.73403967363308709</v>
      </c>
      <c r="AN28" s="6">
        <f t="shared" si="6"/>
        <v>0.53788433542864633</v>
      </c>
      <c r="AO28" s="6">
        <f t="shared" si="7"/>
        <v>0.73148683471601827</v>
      </c>
      <c r="AP28" s="6">
        <f t="shared" si="8"/>
        <v>0.73403967363308709</v>
      </c>
      <c r="AQ28" s="6">
        <f t="shared" si="9"/>
        <v>0.73403967363308709</v>
      </c>
      <c r="AR28" s="6">
        <f t="shared" si="10"/>
        <v>0.53412860052213507</v>
      </c>
      <c r="AS28" s="6">
        <f t="shared" si="11"/>
        <v>0.53788433542864633</v>
      </c>
      <c r="AT28" s="6">
        <f t="shared" si="12"/>
        <v>0.73403967363308709</v>
      </c>
      <c r="AU28" s="6">
        <f t="shared" si="13"/>
        <v>0.73403967363308709</v>
      </c>
      <c r="AV28" s="6">
        <f t="shared" si="14"/>
        <v>0.73403967363308709</v>
      </c>
      <c r="AW28" s="6">
        <f t="shared" si="15"/>
        <v>0.73148683471601827</v>
      </c>
      <c r="AX28" s="6">
        <f t="shared" si="16"/>
        <v>0.39346108551448272</v>
      </c>
      <c r="AY28" s="6">
        <f t="shared" si="17"/>
        <v>0.73403967363308709</v>
      </c>
      <c r="AZ28" s="6">
        <f t="shared" si="18"/>
        <v>0.73403967363308709</v>
      </c>
      <c r="BA28" s="6">
        <f t="shared" si="19"/>
        <v>0.73148683471601827</v>
      </c>
      <c r="BB28" s="6">
        <f t="shared" si="20"/>
        <v>0.71363331125386653</v>
      </c>
      <c r="BC28" s="6">
        <f t="shared" si="21"/>
        <v>0.53412860052213507</v>
      </c>
    </row>
    <row r="29" spans="2:55" x14ac:dyDescent="0.25">
      <c r="E29" s="43" t="s">
        <v>261</v>
      </c>
      <c r="F29" s="6">
        <f>(SUM(F6:F27))</f>
        <v>66015</v>
      </c>
      <c r="G29" t="s">
        <v>237</v>
      </c>
      <c r="T29" s="31"/>
      <c r="U29" s="31"/>
      <c r="V29" s="43" t="s">
        <v>235</v>
      </c>
      <c r="W29" s="6">
        <f>AVERAGE(W28)</f>
        <v>360</v>
      </c>
      <c r="X29" s="31"/>
      <c r="Y29" s="31"/>
      <c r="Z29" s="31"/>
      <c r="AA29" s="31"/>
      <c r="AB29" s="31"/>
      <c r="AC29" s="31"/>
      <c r="AD29" s="31"/>
      <c r="AE29" s="31"/>
      <c r="AF29" s="31"/>
      <c r="AG29" s="31"/>
      <c r="AH29" s="31"/>
      <c r="AI29" s="31"/>
      <c r="AJ29">
        <f t="shared" si="23"/>
        <v>116</v>
      </c>
      <c r="AK29" s="6">
        <f t="shared" si="3"/>
        <v>0.7212564175520485</v>
      </c>
      <c r="AL29" s="6">
        <f t="shared" si="4"/>
        <v>0.52306753526008321</v>
      </c>
      <c r="AM29" s="6">
        <f t="shared" si="5"/>
        <v>0.7238871440296748</v>
      </c>
      <c r="AN29" s="6">
        <f t="shared" si="6"/>
        <v>0.52306753526008321</v>
      </c>
      <c r="AO29" s="6">
        <f t="shared" si="7"/>
        <v>0.7212564175520485</v>
      </c>
      <c r="AP29" s="6">
        <f t="shared" si="8"/>
        <v>0.7238871440296748</v>
      </c>
      <c r="AQ29" s="6">
        <f t="shared" si="9"/>
        <v>0.7238871440296748</v>
      </c>
      <c r="AR29" s="6">
        <f t="shared" si="10"/>
        <v>0.51925134204879231</v>
      </c>
      <c r="AS29" s="6">
        <f t="shared" si="11"/>
        <v>0.52306753526008321</v>
      </c>
      <c r="AT29" s="6">
        <f t="shared" si="12"/>
        <v>0.7238871440296748</v>
      </c>
      <c r="AU29" s="6">
        <f t="shared" si="13"/>
        <v>0.7238871440296748</v>
      </c>
      <c r="AV29" s="6">
        <f t="shared" si="14"/>
        <v>0.7238871440296748</v>
      </c>
      <c r="AW29" s="6">
        <f t="shared" si="15"/>
        <v>0.7212564175520485</v>
      </c>
      <c r="AX29" s="6">
        <f t="shared" si="16"/>
        <v>0.37727160397857362</v>
      </c>
      <c r="AY29" s="6">
        <f t="shared" si="17"/>
        <v>0.7238871440296748</v>
      </c>
      <c r="AZ29" s="6">
        <f t="shared" si="18"/>
        <v>0.7238871440296748</v>
      </c>
      <c r="BA29" s="6">
        <f t="shared" si="19"/>
        <v>0.7212564175520485</v>
      </c>
      <c r="BB29" s="6">
        <f t="shared" si="20"/>
        <v>0.70286981683866601</v>
      </c>
      <c r="BC29" s="6">
        <f t="shared" si="21"/>
        <v>0.51925134204879231</v>
      </c>
    </row>
    <row r="30" spans="2:55" x14ac:dyDescent="0.25">
      <c r="E30" s="43" t="s">
        <v>262</v>
      </c>
      <c r="F30" s="6">
        <f>60*24*30*12*5</f>
        <v>2592000</v>
      </c>
      <c r="G30" t="s">
        <v>237</v>
      </c>
      <c r="T30" s="6">
        <f>DAYS360("31-12-2009",U30)</f>
        <v>1924</v>
      </c>
      <c r="U30" s="5">
        <v>42128</v>
      </c>
      <c r="V30" s="6" t="s">
        <v>383</v>
      </c>
      <c r="W30" s="30">
        <v>360</v>
      </c>
      <c r="X30" s="6">
        <f>COUNT(W30)</f>
        <v>1</v>
      </c>
      <c r="Y30" s="6">
        <f>SUM(W30)</f>
        <v>360</v>
      </c>
      <c r="Z30" s="6">
        <f>($F$31-Y30)/X30</f>
        <v>518040</v>
      </c>
      <c r="AA30" s="6">
        <f>INT(Z30/60/24)</f>
        <v>359</v>
      </c>
      <c r="AB30" s="6">
        <f>Y30/X30</f>
        <v>360</v>
      </c>
      <c r="AC30" s="6">
        <f>Y30-W31</f>
        <v>0</v>
      </c>
      <c r="AD30" s="33">
        <f>SQRT((AC30*AC30)/COUNT(W30))</f>
        <v>0</v>
      </c>
      <c r="AE30" s="6">
        <f>1/AA30</f>
        <v>2.7855153203342618E-3</v>
      </c>
      <c r="AF30" s="6">
        <f>AE30*EXP(-AE30*(365*1))</f>
        <v>1.007749673042332E-3</v>
      </c>
      <c r="AG30" s="6">
        <f>1-EXP(-AE30*(365*1))</f>
        <v>0.63821786737780273</v>
      </c>
      <c r="AH30" s="6">
        <f>EXP(-AE30*(365*1))</f>
        <v>0.36178213262219722</v>
      </c>
      <c r="AI30" s="6">
        <f>$F$31/(Y30+$F$31)*100</f>
        <v>99.93060374739764</v>
      </c>
      <c r="AJ30">
        <f t="shared" si="23"/>
        <v>121</v>
      </c>
      <c r="AK30" s="6">
        <f t="shared" si="3"/>
        <v>0.71116908079688679</v>
      </c>
      <c r="AL30" s="6">
        <f t="shared" si="4"/>
        <v>0.50865888523231229</v>
      </c>
      <c r="AM30" s="6">
        <f t="shared" si="5"/>
        <v>0.7138750344349496</v>
      </c>
      <c r="AN30" s="6">
        <f t="shared" si="6"/>
        <v>0.50865888523231229</v>
      </c>
      <c r="AO30" s="6">
        <f t="shared" si="7"/>
        <v>0.71116908079688679</v>
      </c>
      <c r="AP30" s="6">
        <f t="shared" si="8"/>
        <v>0.7138750344349496</v>
      </c>
      <c r="AQ30" s="6">
        <f t="shared" si="9"/>
        <v>0.7138750344349496</v>
      </c>
      <c r="AR30" s="6">
        <f t="shared" si="10"/>
        <v>0.50478846471786776</v>
      </c>
      <c r="AS30" s="6">
        <f t="shared" si="11"/>
        <v>0.50865888523231229</v>
      </c>
      <c r="AT30" s="6">
        <f t="shared" si="12"/>
        <v>0.7138750344349496</v>
      </c>
      <c r="AU30" s="6">
        <f t="shared" si="13"/>
        <v>0.7138750344349496</v>
      </c>
      <c r="AV30" s="6">
        <f t="shared" si="14"/>
        <v>0.7138750344349496</v>
      </c>
      <c r="AW30" s="6">
        <f t="shared" si="15"/>
        <v>0.71116908079688679</v>
      </c>
      <c r="AX30" s="6">
        <f t="shared" si="16"/>
        <v>0.36174826026937951</v>
      </c>
      <c r="AY30" s="6">
        <f t="shared" si="17"/>
        <v>0.7138750344349496</v>
      </c>
      <c r="AZ30" s="6">
        <f t="shared" si="18"/>
        <v>0.7138750344349496</v>
      </c>
      <c r="BA30" s="6">
        <f t="shared" si="19"/>
        <v>0.71116908079688679</v>
      </c>
      <c r="BB30" s="6">
        <f t="shared" si="20"/>
        <v>0.69226866463787584</v>
      </c>
      <c r="BC30" s="6">
        <f t="shared" si="21"/>
        <v>0.50478846471786776</v>
      </c>
    </row>
    <row r="31" spans="2:55" x14ac:dyDescent="0.25">
      <c r="E31" s="43" t="s">
        <v>268</v>
      </c>
      <c r="F31" s="6">
        <v>518400</v>
      </c>
      <c r="G31" t="s">
        <v>237</v>
      </c>
      <c r="T31" s="31"/>
      <c r="U31" s="31"/>
      <c r="V31" s="43" t="s">
        <v>235</v>
      </c>
      <c r="W31" s="6">
        <f>AVERAGE(W30)</f>
        <v>360</v>
      </c>
      <c r="X31" s="31"/>
      <c r="Y31" s="31"/>
      <c r="Z31" s="31"/>
      <c r="AA31" s="31"/>
      <c r="AB31" s="31"/>
      <c r="AC31" s="31"/>
      <c r="AD31" s="31"/>
      <c r="AE31" s="31"/>
      <c r="AF31" s="31"/>
      <c r="AG31" s="31"/>
      <c r="AH31" s="31"/>
      <c r="AI31" s="31"/>
      <c r="AJ31">
        <f t="shared" si="23"/>
        <v>126</v>
      </c>
      <c r="AK31" s="6">
        <f t="shared" si="3"/>
        <v>0.70122282335878316</v>
      </c>
      <c r="AL31" s="6">
        <f t="shared" si="4"/>
        <v>0.4946471422607584</v>
      </c>
      <c r="AM31" s="6">
        <f t="shared" si="5"/>
        <v>0.70400140269462974</v>
      </c>
      <c r="AN31" s="6">
        <f t="shared" si="6"/>
        <v>0.4946471422607584</v>
      </c>
      <c r="AO31" s="6">
        <f t="shared" si="7"/>
        <v>0.70122282335878316</v>
      </c>
      <c r="AP31" s="6">
        <f t="shared" si="8"/>
        <v>0.70400140269462974</v>
      </c>
      <c r="AQ31" s="6">
        <f t="shared" si="9"/>
        <v>0.70400140269462974</v>
      </c>
      <c r="AR31" s="6">
        <f t="shared" si="10"/>
        <v>0.49072842663597449</v>
      </c>
      <c r="AS31" s="6">
        <f t="shared" si="11"/>
        <v>0.4946471422607584</v>
      </c>
      <c r="AT31" s="6">
        <f t="shared" si="12"/>
        <v>0.70400140269462974</v>
      </c>
      <c r="AU31" s="6">
        <f t="shared" si="13"/>
        <v>0.70400140269462974</v>
      </c>
      <c r="AV31" s="6">
        <f t="shared" si="14"/>
        <v>0.70400140269462974</v>
      </c>
      <c r="AW31" s="6">
        <f t="shared" si="15"/>
        <v>0.70122282335878316</v>
      </c>
      <c r="AX31" s="6">
        <f t="shared" si="16"/>
        <v>0.34686364525689234</v>
      </c>
      <c r="AY31" s="6">
        <f t="shared" si="17"/>
        <v>0.70400140269462974</v>
      </c>
      <c r="AZ31" s="6">
        <f t="shared" si="18"/>
        <v>0.70400140269462974</v>
      </c>
      <c r="BA31" s="6">
        <f t="shared" si="19"/>
        <v>0.70122282335878316</v>
      </c>
      <c r="BB31" s="6">
        <f t="shared" si="20"/>
        <v>0.68182740609774939</v>
      </c>
      <c r="BC31" s="6">
        <f t="shared" si="21"/>
        <v>0.49072842663597449</v>
      </c>
    </row>
    <row r="32" spans="2:55" x14ac:dyDescent="0.25">
      <c r="T32" s="6">
        <f>DAYS360("31-12-2009",U32)</f>
        <v>220</v>
      </c>
      <c r="U32" s="5">
        <v>40400</v>
      </c>
      <c r="V32" s="6" t="s">
        <v>379</v>
      </c>
      <c r="W32" s="34">
        <v>180</v>
      </c>
      <c r="X32" s="6">
        <f>COUNT(W32)</f>
        <v>1</v>
      </c>
      <c r="Y32" s="6">
        <f>SUM(W32)</f>
        <v>180</v>
      </c>
      <c r="Z32" s="6">
        <f>($F$31-Y32)/X32</f>
        <v>518220</v>
      </c>
      <c r="AA32" s="6">
        <f>INT(Z32/60/24)</f>
        <v>359</v>
      </c>
      <c r="AB32" s="6">
        <f>Y32/X32</f>
        <v>180</v>
      </c>
      <c r="AC32" s="6">
        <f>Y32-W33</f>
        <v>0</v>
      </c>
      <c r="AD32" s="33">
        <f>SQRT((AC32*AC32)/COUNT(W32))</f>
        <v>0</v>
      </c>
      <c r="AE32" s="6">
        <f>1/AA32</f>
        <v>2.7855153203342618E-3</v>
      </c>
      <c r="AF32" s="6">
        <f>AE32*EXP(-AE32*(365*1))</f>
        <v>1.007749673042332E-3</v>
      </c>
      <c r="AG32" s="6">
        <f>1-EXP(-AE32*(365*1))</f>
        <v>0.63821786737780273</v>
      </c>
      <c r="AH32" s="6">
        <f>EXP(-AE32*(365*1))</f>
        <v>0.36178213262219722</v>
      </c>
      <c r="AI32" s="6">
        <f>$F$31/(Y32+$F$31)*100</f>
        <v>99.965289829920167</v>
      </c>
      <c r="AJ32">
        <f t="shared" si="23"/>
        <v>131</v>
      </c>
      <c r="AK32" s="6">
        <f t="shared" si="3"/>
        <v>0.69141567213282573</v>
      </c>
      <c r="AL32" s="6">
        <f t="shared" si="4"/>
        <v>0.48102137296783437</v>
      </c>
      <c r="AM32" s="6">
        <f t="shared" si="5"/>
        <v>0.69426433351644024</v>
      </c>
      <c r="AN32" s="6">
        <f t="shared" si="6"/>
        <v>0.48102137296783437</v>
      </c>
      <c r="AO32" s="6">
        <f t="shared" si="7"/>
        <v>0.69141567213282573</v>
      </c>
      <c r="AP32" s="6">
        <f t="shared" si="8"/>
        <v>0.69426433351644024</v>
      </c>
      <c r="AQ32" s="6">
        <f t="shared" si="9"/>
        <v>0.69426433351644024</v>
      </c>
      <c r="AR32" s="6">
        <f t="shared" si="10"/>
        <v>0.47706000738985388</v>
      </c>
      <c r="AS32" s="6">
        <f t="shared" si="11"/>
        <v>0.48102137296783437</v>
      </c>
      <c r="AT32" s="6">
        <f t="shared" si="12"/>
        <v>0.69426433351644024</v>
      </c>
      <c r="AU32" s="6">
        <f t="shared" si="13"/>
        <v>0.69426433351644024</v>
      </c>
      <c r="AV32" s="6">
        <f t="shared" si="14"/>
        <v>0.69426433351644024</v>
      </c>
      <c r="AW32" s="6">
        <f t="shared" si="15"/>
        <v>0.69141567213282573</v>
      </c>
      <c r="AX32" s="6">
        <f t="shared" si="16"/>
        <v>0.33259147759634267</v>
      </c>
      <c r="AY32" s="6">
        <f t="shared" si="17"/>
        <v>0.69426433351644024</v>
      </c>
      <c r="AZ32" s="6">
        <f t="shared" si="18"/>
        <v>0.69426433351644024</v>
      </c>
      <c r="BA32" s="6">
        <f t="shared" si="19"/>
        <v>0.69141567213282573</v>
      </c>
      <c r="BB32" s="6">
        <f t="shared" si="20"/>
        <v>0.67154362959526337</v>
      </c>
      <c r="BC32" s="6">
        <f t="shared" si="21"/>
        <v>0.47706000738985388</v>
      </c>
    </row>
    <row r="33" spans="2:55" x14ac:dyDescent="0.25">
      <c r="B33" s="32" t="s">
        <v>193</v>
      </c>
      <c r="E33" s="61"/>
      <c r="F33" s="11"/>
      <c r="T33" s="31"/>
      <c r="U33" s="31"/>
      <c r="V33" s="43" t="s">
        <v>235</v>
      </c>
      <c r="W33" s="6">
        <f>AVERAGE(W32)</f>
        <v>180</v>
      </c>
      <c r="X33" s="31"/>
      <c r="Y33" s="31"/>
      <c r="Z33" s="31"/>
      <c r="AA33" s="31"/>
      <c r="AB33" s="31"/>
      <c r="AC33" s="31"/>
      <c r="AD33" s="31"/>
      <c r="AE33" s="31"/>
      <c r="AF33" s="31"/>
      <c r="AG33" s="31"/>
      <c r="AH33" s="31"/>
      <c r="AI33" s="31"/>
      <c r="AJ33">
        <f t="shared" si="23"/>
        <v>136</v>
      </c>
      <c r="AK33" s="6">
        <f t="shared" si="3"/>
        <v>0.68174568160952198</v>
      </c>
      <c r="AL33" s="6">
        <f t="shared" si="4"/>
        <v>0.46777094515161527</v>
      </c>
      <c r="AM33" s="6">
        <f t="shared" si="5"/>
        <v>0.68466193809858422</v>
      </c>
      <c r="AN33" s="6">
        <f t="shared" si="6"/>
        <v>0.46777094515161527</v>
      </c>
      <c r="AO33" s="6">
        <f t="shared" si="7"/>
        <v>0.68174568160952198</v>
      </c>
      <c r="AP33" s="6">
        <f t="shared" si="8"/>
        <v>0.68466193809858422</v>
      </c>
      <c r="AQ33" s="6">
        <f t="shared" si="9"/>
        <v>0.68466193809858422</v>
      </c>
      <c r="AR33" s="6">
        <f t="shared" si="10"/>
        <v>0.46377229909208489</v>
      </c>
      <c r="AS33" s="6">
        <f t="shared" si="11"/>
        <v>0.46777094515161527</v>
      </c>
      <c r="AT33" s="6">
        <f t="shared" si="12"/>
        <v>0.68466193809858422</v>
      </c>
      <c r="AU33" s="6">
        <f t="shared" si="13"/>
        <v>0.68466193809858422</v>
      </c>
      <c r="AV33" s="6">
        <f t="shared" si="14"/>
        <v>0.68466193809858422</v>
      </c>
      <c r="AW33" s="6">
        <f t="shared" si="15"/>
        <v>0.68174568160952198</v>
      </c>
      <c r="AX33" s="6">
        <f t="shared" si="16"/>
        <v>0.31890655732397044</v>
      </c>
      <c r="AY33" s="6">
        <f t="shared" si="17"/>
        <v>0.68466193809858422</v>
      </c>
      <c r="AZ33" s="6">
        <f t="shared" si="18"/>
        <v>0.68466193809858422</v>
      </c>
      <c r="BA33" s="6">
        <f t="shared" si="19"/>
        <v>0.68174568160952198</v>
      </c>
      <c r="BB33" s="6">
        <f t="shared" si="20"/>
        <v>0.66141495988110421</v>
      </c>
      <c r="BC33" s="6">
        <f t="shared" si="21"/>
        <v>0.46377229909208489</v>
      </c>
    </row>
    <row r="34" spans="2:55" x14ac:dyDescent="0.25">
      <c r="B34" t="s">
        <v>256</v>
      </c>
      <c r="T34" s="6">
        <f>DAYS360("31-12-2009",U34)</f>
        <v>575</v>
      </c>
      <c r="U34" s="5">
        <v>40760</v>
      </c>
      <c r="V34" s="6" t="s">
        <v>379</v>
      </c>
      <c r="W34" s="33">
        <f>5*24*60</f>
        <v>7200</v>
      </c>
      <c r="X34" s="6">
        <f>COUNT(W34)</f>
        <v>1</v>
      </c>
      <c r="Y34" s="6">
        <f>SUM(W34)</f>
        <v>7200</v>
      </c>
      <c r="Z34" s="6">
        <f>($F$31-Y34)/X34</f>
        <v>511200</v>
      </c>
      <c r="AA34" s="6">
        <f>INT(Z34/60/24)</f>
        <v>355</v>
      </c>
      <c r="AB34" s="6">
        <f>Y34/X34</f>
        <v>7200</v>
      </c>
      <c r="AC34" s="6">
        <f>Y34-W35</f>
        <v>0</v>
      </c>
      <c r="AD34" s="33">
        <f>SQRT((AC34*AC34)/COUNT(W34))</f>
        <v>0</v>
      </c>
      <c r="AE34" s="6">
        <f>1/AA34</f>
        <v>2.8169014084507044E-3</v>
      </c>
      <c r="AF34" s="6">
        <f>AE34*EXP(-AE34*(365*1))</f>
        <v>1.0074964340442004E-3</v>
      </c>
      <c r="AG34" s="6">
        <f>1-EXP(-AE34*(365*1))</f>
        <v>0.64233876591430894</v>
      </c>
      <c r="AH34" s="6">
        <f>EXP(-AE34*(365*1))</f>
        <v>0.35766123408569112</v>
      </c>
      <c r="AI34" s="6">
        <f>$F$31/(Y34+$F$31)*100</f>
        <v>98.630136986301366</v>
      </c>
      <c r="AJ34">
        <f t="shared" si="23"/>
        <v>141</v>
      </c>
      <c r="AK34" s="6">
        <f t="shared" si="3"/>
        <v>0.67221093348885619</v>
      </c>
      <c r="AL34" s="6">
        <f t="shared" si="4"/>
        <v>0.45488551948951989</v>
      </c>
      <c r="AM34" s="6">
        <f t="shared" si="5"/>
        <v>0.67519235376335118</v>
      </c>
      <c r="AN34" s="6">
        <f t="shared" si="6"/>
        <v>0.45488551948951989</v>
      </c>
      <c r="AO34" s="6">
        <f t="shared" si="7"/>
        <v>0.67221093348885619</v>
      </c>
      <c r="AP34" s="6">
        <f t="shared" si="8"/>
        <v>0.67519235376335118</v>
      </c>
      <c r="AQ34" s="6">
        <f t="shared" si="9"/>
        <v>0.67519235376335118</v>
      </c>
      <c r="AR34" s="6">
        <f t="shared" si="10"/>
        <v>0.45085469767619996</v>
      </c>
      <c r="AS34" s="6">
        <f t="shared" si="11"/>
        <v>0.45488551948951989</v>
      </c>
      <c r="AT34" s="6">
        <f t="shared" si="12"/>
        <v>0.67519235376335118</v>
      </c>
      <c r="AU34" s="6">
        <f t="shared" si="13"/>
        <v>0.67519235376335118</v>
      </c>
      <c r="AV34" s="6">
        <f t="shared" si="14"/>
        <v>0.67519235376335118</v>
      </c>
      <c r="AW34" s="6">
        <f t="shared" si="15"/>
        <v>0.67221093348885619</v>
      </c>
      <c r="AX34" s="6">
        <f t="shared" si="16"/>
        <v>0.30578472136216034</v>
      </c>
      <c r="AY34" s="6">
        <f t="shared" si="17"/>
        <v>0.67519235376335118</v>
      </c>
      <c r="AZ34" s="6">
        <f t="shared" si="18"/>
        <v>0.67519235376335118</v>
      </c>
      <c r="BA34" s="6">
        <f t="shared" si="19"/>
        <v>0.67221093348885619</v>
      </c>
      <c r="BB34" s="6">
        <f t="shared" si="20"/>
        <v>0.65143905753105558</v>
      </c>
      <c r="BC34" s="6">
        <f t="shared" si="21"/>
        <v>0.45085469767619996</v>
      </c>
    </row>
    <row r="35" spans="2:55" x14ac:dyDescent="0.25">
      <c r="B35" t="s">
        <v>258</v>
      </c>
      <c r="T35" s="31"/>
      <c r="U35" s="31"/>
      <c r="V35" s="43" t="s">
        <v>235</v>
      </c>
      <c r="W35" s="6">
        <f>AVERAGE(W34)</f>
        <v>7200</v>
      </c>
      <c r="X35" s="31"/>
      <c r="Y35" s="31"/>
      <c r="Z35" s="31"/>
      <c r="AA35" s="31"/>
      <c r="AB35" s="31"/>
      <c r="AC35" s="31"/>
      <c r="AD35" s="31"/>
      <c r="AE35" s="31"/>
      <c r="AF35" s="31"/>
      <c r="AG35" s="31"/>
      <c r="AH35" s="31"/>
      <c r="AI35" s="31"/>
      <c r="AJ35">
        <f t="shared" si="23"/>
        <v>146</v>
      </c>
      <c r="AK35" s="6">
        <f t="shared" si="3"/>
        <v>0.66280953629974304</v>
      </c>
      <c r="AL35" s="6">
        <f t="shared" si="4"/>
        <v>0.44235504147052696</v>
      </c>
      <c r="AM35" s="6">
        <f t="shared" si="5"/>
        <v>0.66585374359579441</v>
      </c>
      <c r="AN35" s="6">
        <f t="shared" si="6"/>
        <v>0.44235504147052696</v>
      </c>
      <c r="AO35" s="6">
        <f t="shared" si="7"/>
        <v>0.66280953629974304</v>
      </c>
      <c r="AP35" s="6">
        <f t="shared" si="8"/>
        <v>0.66585374359579441</v>
      </c>
      <c r="AQ35" s="6">
        <f t="shared" si="9"/>
        <v>0.66585374359579441</v>
      </c>
      <c r="AR35" s="6">
        <f t="shared" si="10"/>
        <v>0.43829689443426012</v>
      </c>
      <c r="AS35" s="6">
        <f t="shared" si="11"/>
        <v>0.44235504147052696</v>
      </c>
      <c r="AT35" s="6">
        <f t="shared" si="12"/>
        <v>0.66585374359579441</v>
      </c>
      <c r="AU35" s="6">
        <f t="shared" si="13"/>
        <v>0.66585374359579441</v>
      </c>
      <c r="AV35" s="6">
        <f t="shared" si="14"/>
        <v>0.66585374359579441</v>
      </c>
      <c r="AW35" s="6">
        <f t="shared" si="15"/>
        <v>0.66280953629974304</v>
      </c>
      <c r="AX35" s="6">
        <f t="shared" si="16"/>
        <v>0.29320280085537731</v>
      </c>
      <c r="AY35" s="6">
        <f t="shared" si="17"/>
        <v>0.66585374359579441</v>
      </c>
      <c r="AZ35" s="6">
        <f t="shared" si="18"/>
        <v>0.66585374359579441</v>
      </c>
      <c r="BA35" s="6">
        <f t="shared" si="19"/>
        <v>0.66280953629974304</v>
      </c>
      <c r="BB35" s="6">
        <f t="shared" si="20"/>
        <v>0.64161361840566045</v>
      </c>
      <c r="BC35" s="6">
        <f t="shared" si="21"/>
        <v>0.43829689443426012</v>
      </c>
    </row>
    <row r="36" spans="2:55" x14ac:dyDescent="0.25">
      <c r="B36" t="s">
        <v>259</v>
      </c>
      <c r="T36" s="6">
        <f>DAYS360("31-12-2009",U36)</f>
        <v>747</v>
      </c>
      <c r="U36" s="5">
        <v>40935</v>
      </c>
      <c r="V36" s="6" t="s">
        <v>379</v>
      </c>
      <c r="W36" s="33">
        <v>240</v>
      </c>
      <c r="X36" s="31"/>
      <c r="Y36" s="31"/>
      <c r="Z36" s="31"/>
      <c r="AA36" s="31"/>
      <c r="AB36" s="31"/>
      <c r="AC36" s="31"/>
      <c r="AD36" s="31"/>
      <c r="AE36" s="31"/>
      <c r="AF36" s="31"/>
      <c r="AG36" s="31"/>
      <c r="AH36" s="31"/>
      <c r="AI36" s="31"/>
      <c r="AJ36">
        <f t="shared" si="23"/>
        <v>151</v>
      </c>
      <c r="AK36" s="6">
        <f t="shared" si="3"/>
        <v>0.65353962502480367</v>
      </c>
      <c r="AL36" s="6">
        <f t="shared" si="4"/>
        <v>0.43016973354962967</v>
      </c>
      <c r="AM36" s="6">
        <f t="shared" si="5"/>
        <v>0.65664429608740515</v>
      </c>
      <c r="AN36" s="6">
        <f t="shared" si="6"/>
        <v>0.43016973354962967</v>
      </c>
      <c r="AO36" s="6">
        <f t="shared" si="7"/>
        <v>0.65353962502480367</v>
      </c>
      <c r="AP36" s="6">
        <f t="shared" si="8"/>
        <v>0.65664429608740515</v>
      </c>
      <c r="AQ36" s="6">
        <f t="shared" si="9"/>
        <v>0.65664429608740515</v>
      </c>
      <c r="AR36" s="6">
        <f t="shared" si="10"/>
        <v>0.42608886779013788</v>
      </c>
      <c r="AS36" s="6">
        <f t="shared" si="11"/>
        <v>0.43016973354962967</v>
      </c>
      <c r="AT36" s="6">
        <f t="shared" si="12"/>
        <v>0.65664429608740515</v>
      </c>
      <c r="AU36" s="6">
        <f t="shared" si="13"/>
        <v>0.65664429608740515</v>
      </c>
      <c r="AV36" s="6">
        <f t="shared" si="14"/>
        <v>0.65664429608740515</v>
      </c>
      <c r="AW36" s="6">
        <f t="shared" si="15"/>
        <v>0.65353962502480367</v>
      </c>
      <c r="AX36" s="6">
        <f t="shared" si="16"/>
        <v>0.28113858026157157</v>
      </c>
      <c r="AY36" s="6">
        <f t="shared" si="17"/>
        <v>0.65664429608740515</v>
      </c>
      <c r="AZ36" s="6">
        <f t="shared" si="18"/>
        <v>0.65664429608740515</v>
      </c>
      <c r="BA36" s="6">
        <f t="shared" si="19"/>
        <v>0.65353962502480367</v>
      </c>
      <c r="BB36" s="6">
        <f t="shared" si="20"/>
        <v>0.63193637311803219</v>
      </c>
      <c r="BC36" s="6">
        <f t="shared" si="21"/>
        <v>0.42608886779013788</v>
      </c>
    </row>
    <row r="37" spans="2:55" x14ac:dyDescent="0.25">
      <c r="T37" s="6">
        <f>DAYS360("31-12-2009",U37)</f>
        <v>910</v>
      </c>
      <c r="U37" s="5">
        <v>41100</v>
      </c>
      <c r="V37" s="6" t="s">
        <v>379</v>
      </c>
      <c r="W37" s="33">
        <v>120</v>
      </c>
      <c r="X37" s="31"/>
      <c r="Y37" s="31"/>
      <c r="Z37" s="31"/>
      <c r="AA37" s="31"/>
      <c r="AB37" s="31"/>
      <c r="AC37" s="31"/>
      <c r="AD37" s="31"/>
      <c r="AE37" s="31"/>
      <c r="AF37" s="31"/>
      <c r="AG37" s="31"/>
      <c r="AH37" s="31"/>
      <c r="AI37" s="31"/>
      <c r="AJ37">
        <f t="shared" si="23"/>
        <v>156</v>
      </c>
      <c r="AK37" s="6">
        <f t="shared" si="3"/>
        <v>0.6443993607303905</v>
      </c>
      <c r="AL37" s="6">
        <f t="shared" si="4"/>
        <v>0.41832008751840699</v>
      </c>
      <c r="AM37" s="6">
        <f t="shared" si="5"/>
        <v>0.64756222478471492</v>
      </c>
      <c r="AN37" s="6">
        <f t="shared" si="6"/>
        <v>0.41832008751840699</v>
      </c>
      <c r="AO37" s="6">
        <f t="shared" si="7"/>
        <v>0.6443993607303905</v>
      </c>
      <c r="AP37" s="6">
        <f t="shared" si="8"/>
        <v>0.64756222478471492</v>
      </c>
      <c r="AQ37" s="6">
        <f t="shared" si="9"/>
        <v>0.64756222478471492</v>
      </c>
      <c r="AR37" s="6">
        <f t="shared" si="10"/>
        <v>0.41422087530194091</v>
      </c>
      <c r="AS37" s="6">
        <f t="shared" si="11"/>
        <v>0.41832008751840699</v>
      </c>
      <c r="AT37" s="6">
        <f t="shared" si="12"/>
        <v>0.64756222478471492</v>
      </c>
      <c r="AU37" s="6">
        <f t="shared" si="13"/>
        <v>0.64756222478471492</v>
      </c>
      <c r="AV37" s="6">
        <f t="shared" si="14"/>
        <v>0.64756222478471492</v>
      </c>
      <c r="AW37" s="6">
        <f t="shared" si="15"/>
        <v>0.6443993607303905</v>
      </c>
      <c r="AX37" s="6">
        <f t="shared" si="16"/>
        <v>0.26957075812682357</v>
      </c>
      <c r="AY37" s="6">
        <f t="shared" si="17"/>
        <v>0.64756222478471492</v>
      </c>
      <c r="AZ37" s="6">
        <f t="shared" si="18"/>
        <v>0.64756222478471492</v>
      </c>
      <c r="BA37" s="6">
        <f t="shared" si="19"/>
        <v>0.6443993607303905</v>
      </c>
      <c r="BB37" s="6">
        <f t="shared" si="20"/>
        <v>0.62240508650969395</v>
      </c>
      <c r="BC37" s="6">
        <f t="shared" si="21"/>
        <v>0.41422087530194091</v>
      </c>
    </row>
    <row r="38" spans="2:55" x14ac:dyDescent="0.25">
      <c r="B38" s="37" t="s">
        <v>209</v>
      </c>
      <c r="T38" s="6">
        <f>DAYS360("31-12-2009",U38)</f>
        <v>977</v>
      </c>
      <c r="U38" s="5">
        <v>41169</v>
      </c>
      <c r="V38" s="6" t="s">
        <v>379</v>
      </c>
      <c r="W38" s="33">
        <v>60</v>
      </c>
      <c r="X38" s="6">
        <f>COUNT(W36:W38)</f>
        <v>3</v>
      </c>
      <c r="Y38" s="6">
        <f>SUM(W36:W38)</f>
        <v>420</v>
      </c>
      <c r="Z38" s="6">
        <f>($F$31-Y38)/X38</f>
        <v>172660</v>
      </c>
      <c r="AA38" s="6">
        <f>INT(Z38/60/24)</f>
        <v>119</v>
      </c>
      <c r="AB38" s="6">
        <f>Y38/X38</f>
        <v>140</v>
      </c>
      <c r="AC38" s="6">
        <f>Y38-W39</f>
        <v>280</v>
      </c>
      <c r="AD38" s="33">
        <f>SQRT((AC38*AC38)/COUNT(W36:W38))</f>
        <v>161.65807537309522</v>
      </c>
      <c r="AE38" s="6">
        <f>1/AA38</f>
        <v>8.4033613445378148E-3</v>
      </c>
      <c r="AF38" s="6">
        <f>AE38*EXP(-AE38*(365*1))</f>
        <v>3.9117701217351283E-4</v>
      </c>
      <c r="AG38" s="6">
        <f>1-EXP(-AE38*(365*1))</f>
        <v>0.95344993555135193</v>
      </c>
      <c r="AH38" s="6">
        <f>EXP(-AE38*(365*1))</f>
        <v>4.6550064448648031E-2</v>
      </c>
      <c r="AI38" s="6">
        <f>$F$31/(Y38+$F$31)*100</f>
        <v>99.919047068347396</v>
      </c>
      <c r="AJ38">
        <f t="shared" si="23"/>
        <v>161</v>
      </c>
      <c r="AK38" s="6">
        <f t="shared" si="3"/>
        <v>0.63538693020178549</v>
      </c>
      <c r="AL38" s="6">
        <f t="shared" si="4"/>
        <v>0.40679685708575891</v>
      </c>
      <c r="AM38" s="6">
        <f t="shared" si="5"/>
        <v>0.63860576794275881</v>
      </c>
      <c r="AN38" s="6">
        <f t="shared" si="6"/>
        <v>0.40679685708575891</v>
      </c>
      <c r="AO38" s="6">
        <f t="shared" si="7"/>
        <v>0.63538693020178549</v>
      </c>
      <c r="AP38" s="6">
        <f t="shared" si="8"/>
        <v>0.63860576794275881</v>
      </c>
      <c r="AQ38" s="6">
        <f t="shared" si="9"/>
        <v>0.63860576794275881</v>
      </c>
      <c r="AR38" s="6">
        <f t="shared" si="10"/>
        <v>0.40268344588719479</v>
      </c>
      <c r="AS38" s="6">
        <f t="shared" si="11"/>
        <v>0.40679685708575891</v>
      </c>
      <c r="AT38" s="6">
        <f t="shared" si="12"/>
        <v>0.63860576794275881</v>
      </c>
      <c r="AU38" s="6">
        <f t="shared" si="13"/>
        <v>0.63860576794275881</v>
      </c>
      <c r="AV38" s="6">
        <f t="shared" si="14"/>
        <v>0.63860576794275881</v>
      </c>
      <c r="AW38" s="6">
        <f t="shared" si="15"/>
        <v>0.63538693020178549</v>
      </c>
      <c r="AX38" s="6">
        <f t="shared" si="16"/>
        <v>0.25847890947396718</v>
      </c>
      <c r="AY38" s="6">
        <f t="shared" si="17"/>
        <v>0.63860576794275881</v>
      </c>
      <c r="AZ38" s="6">
        <f t="shared" si="18"/>
        <v>0.63860576794275881</v>
      </c>
      <c r="BA38" s="6">
        <f t="shared" si="19"/>
        <v>0.63538693020178549</v>
      </c>
      <c r="BB38" s="6">
        <f t="shared" si="20"/>
        <v>0.61301755713432216</v>
      </c>
      <c r="BC38" s="6">
        <f t="shared" si="21"/>
        <v>0.40268344588719479</v>
      </c>
    </row>
    <row r="39" spans="2:55" x14ac:dyDescent="0.25">
      <c r="B39" s="37" t="s">
        <v>210</v>
      </c>
      <c r="T39" s="31"/>
      <c r="U39" s="31"/>
      <c r="V39" s="43" t="s">
        <v>235</v>
      </c>
      <c r="W39" s="6">
        <f>AVERAGE(W36:W38)</f>
        <v>140</v>
      </c>
      <c r="X39" s="31"/>
      <c r="Y39" s="31"/>
      <c r="Z39" s="31"/>
      <c r="AA39" s="31"/>
      <c r="AB39" s="31"/>
      <c r="AC39" s="31"/>
      <c r="AD39" s="31"/>
      <c r="AE39" s="31"/>
      <c r="AF39" s="31"/>
      <c r="AG39" s="31"/>
      <c r="AH39" s="31"/>
      <c r="AI39" s="31"/>
      <c r="AJ39">
        <f t="shared" si="23"/>
        <v>166</v>
      </c>
      <c r="AK39" s="6">
        <f t="shared" si="3"/>
        <v>0.62650054558350055</v>
      </c>
      <c r="AL39" s="6">
        <f t="shared" si="4"/>
        <v>0.39559105066301581</v>
      </c>
      <c r="AM39" s="6">
        <f t="shared" si="5"/>
        <v>0.62977318818333095</v>
      </c>
      <c r="AN39" s="6">
        <f t="shared" si="6"/>
        <v>0.39559105066301581</v>
      </c>
      <c r="AO39" s="6">
        <f t="shared" si="7"/>
        <v>0.62650054558350055</v>
      </c>
      <c r="AP39" s="6">
        <f t="shared" si="8"/>
        <v>0.62977318818333095</v>
      </c>
      <c r="AQ39" s="6">
        <f t="shared" si="9"/>
        <v>0.62977318818333095</v>
      </c>
      <c r="AR39" s="6">
        <f t="shared" si="10"/>
        <v>0.39146737226458062</v>
      </c>
      <c r="AS39" s="6">
        <f t="shared" si="11"/>
        <v>0.39559105066301581</v>
      </c>
      <c r="AT39" s="6">
        <f t="shared" si="12"/>
        <v>0.62977318818333095</v>
      </c>
      <c r="AU39" s="6">
        <f t="shared" si="13"/>
        <v>0.62977318818333095</v>
      </c>
      <c r="AV39" s="6">
        <f t="shared" si="14"/>
        <v>0.62977318818333095</v>
      </c>
      <c r="AW39" s="6">
        <f t="shared" si="15"/>
        <v>0.62650054558350055</v>
      </c>
      <c r="AX39" s="6">
        <f t="shared" si="16"/>
        <v>0.24784344973878408</v>
      </c>
      <c r="AY39" s="6">
        <f t="shared" si="17"/>
        <v>0.62977318818333095</v>
      </c>
      <c r="AZ39" s="6">
        <f t="shared" si="18"/>
        <v>0.62977318818333095</v>
      </c>
      <c r="BA39" s="6">
        <f t="shared" si="19"/>
        <v>0.62650054558350055</v>
      </c>
      <c r="BB39" s="6">
        <f t="shared" si="20"/>
        <v>0.6037716167492776</v>
      </c>
      <c r="BC39" s="6">
        <f t="shared" si="21"/>
        <v>0.39146737226458062</v>
      </c>
    </row>
    <row r="40" spans="2:55" x14ac:dyDescent="0.25">
      <c r="B40" s="40" t="s">
        <v>222</v>
      </c>
      <c r="T40" s="6">
        <f>DAYS360("31-12-2009",U40)</f>
        <v>1237</v>
      </c>
      <c r="U40" s="5">
        <v>41432</v>
      </c>
      <c r="V40" s="6" t="s">
        <v>379</v>
      </c>
      <c r="W40" s="33">
        <v>630</v>
      </c>
      <c r="X40" s="6">
        <f>COUNT(W40)</f>
        <v>1</v>
      </c>
      <c r="Y40" s="6">
        <f>SUM(W40)</f>
        <v>630</v>
      </c>
      <c r="Z40" s="6">
        <f>($F$31-Y40)/X40</f>
        <v>517770</v>
      </c>
      <c r="AA40" s="6">
        <f>INT(Z40/60/24)</f>
        <v>359</v>
      </c>
      <c r="AB40" s="6">
        <f>Y40/X40</f>
        <v>630</v>
      </c>
      <c r="AC40" s="6">
        <f>Y40-W41</f>
        <v>0</v>
      </c>
      <c r="AD40" s="33">
        <f>SQRT((AC40*AC40)/COUNT(W40))</f>
        <v>0</v>
      </c>
      <c r="AE40" s="6">
        <f>1/AA40</f>
        <v>2.7855153203342618E-3</v>
      </c>
      <c r="AF40" s="6">
        <f>AE40*EXP(-AE40*(365*1))</f>
        <v>1.007749673042332E-3</v>
      </c>
      <c r="AG40" s="6">
        <f>1-EXP(-AE40*(365*1))</f>
        <v>0.63821786737780273</v>
      </c>
      <c r="AH40" s="6">
        <f>EXP(-AE40*(365*1))</f>
        <v>0.36178213262219722</v>
      </c>
      <c r="AI40" s="6">
        <f>$F$31/(Y40+$F$31)*100</f>
        <v>99.878619732963415</v>
      </c>
      <c r="AJ40">
        <f t="shared" si="23"/>
        <v>171</v>
      </c>
      <c r="AK40" s="6">
        <f t="shared" si="3"/>
        <v>0.61773844402460909</v>
      </c>
      <c r="AL40" s="6">
        <f t="shared" si="4"/>
        <v>0.38469392434779259</v>
      </c>
      <c r="AM40" s="6">
        <f t="shared" si="5"/>
        <v>0.62106277215796701</v>
      </c>
      <c r="AN40" s="6">
        <f t="shared" si="6"/>
        <v>0.38469392434779259</v>
      </c>
      <c r="AO40" s="6">
        <f t="shared" si="7"/>
        <v>0.61773844402460909</v>
      </c>
      <c r="AP40" s="6">
        <f t="shared" si="8"/>
        <v>0.62106277215796701</v>
      </c>
      <c r="AQ40" s="6">
        <f t="shared" si="9"/>
        <v>0.62106277215796701</v>
      </c>
      <c r="AR40" s="6">
        <f t="shared" si="10"/>
        <v>0.38056370360619518</v>
      </c>
      <c r="AS40" s="6">
        <f t="shared" si="11"/>
        <v>0.38469392434779259</v>
      </c>
      <c r="AT40" s="6">
        <f t="shared" si="12"/>
        <v>0.62106277215796701</v>
      </c>
      <c r="AU40" s="6">
        <f t="shared" si="13"/>
        <v>0.62106277215796701</v>
      </c>
      <c r="AV40" s="6">
        <f t="shared" si="14"/>
        <v>0.62106277215796701</v>
      </c>
      <c r="AW40" s="6">
        <f t="shared" si="15"/>
        <v>0.61773844402460909</v>
      </c>
      <c r="AX40" s="6">
        <f t="shared" si="16"/>
        <v>0.23764560019009123</v>
      </c>
      <c r="AY40" s="6">
        <f t="shared" si="17"/>
        <v>0.62106277215796701</v>
      </c>
      <c r="AZ40" s="6">
        <f t="shared" si="18"/>
        <v>0.62106277215796701</v>
      </c>
      <c r="BA40" s="6">
        <f t="shared" si="19"/>
        <v>0.61773844402460909</v>
      </c>
      <c r="BB40" s="6">
        <f t="shared" si="20"/>
        <v>0.59466512981480535</v>
      </c>
      <c r="BC40" s="6">
        <f t="shared" si="21"/>
        <v>0.38056370360619518</v>
      </c>
    </row>
    <row r="41" spans="2:55" x14ac:dyDescent="0.25">
      <c r="B41" s="40" t="s">
        <v>232</v>
      </c>
      <c r="T41" s="31"/>
      <c r="U41" s="31"/>
      <c r="V41" s="43" t="s">
        <v>235</v>
      </c>
      <c r="W41" s="6">
        <f>AVERAGE(W40)</f>
        <v>630</v>
      </c>
      <c r="X41" s="31"/>
      <c r="Y41" s="31"/>
      <c r="Z41" s="31"/>
      <c r="AA41" s="31"/>
      <c r="AB41" s="31"/>
      <c r="AC41" s="31"/>
      <c r="AD41" s="31"/>
      <c r="AE41" s="31"/>
      <c r="AF41" s="31"/>
      <c r="AG41" s="31"/>
      <c r="AH41" s="31"/>
      <c r="AI41" s="31"/>
      <c r="AJ41">
        <f t="shared" si="23"/>
        <v>176</v>
      </c>
      <c r="AK41" s="6">
        <f t="shared" si="3"/>
        <v>0.60909888732903739</v>
      </c>
      <c r="AL41" s="6">
        <f t="shared" si="4"/>
        <v>0.37409697510111256</v>
      </c>
      <c r="AM41" s="6">
        <f t="shared" si="5"/>
        <v>0.61247283021558807</v>
      </c>
      <c r="AN41" s="6">
        <f t="shared" si="6"/>
        <v>0.37409697510111256</v>
      </c>
      <c r="AO41" s="6">
        <f t="shared" si="7"/>
        <v>0.60909888732903739</v>
      </c>
      <c r="AP41" s="6">
        <f t="shared" si="8"/>
        <v>0.61247283021558807</v>
      </c>
      <c r="AQ41" s="6">
        <f t="shared" si="9"/>
        <v>0.61247283021558807</v>
      </c>
      <c r="AR41" s="6">
        <f t="shared" si="10"/>
        <v>0.36996373839447022</v>
      </c>
      <c r="AS41" s="6">
        <f t="shared" si="11"/>
        <v>0.37409697510111256</v>
      </c>
      <c r="AT41" s="6">
        <f t="shared" si="12"/>
        <v>0.61247283021558807</v>
      </c>
      <c r="AU41" s="6">
        <f t="shared" si="13"/>
        <v>0.61247283021558807</v>
      </c>
      <c r="AV41" s="6">
        <f t="shared" si="14"/>
        <v>0.61247283021558807</v>
      </c>
      <c r="AW41" s="6">
        <f t="shared" si="15"/>
        <v>0.60909888732903739</v>
      </c>
      <c r="AX41" s="6">
        <f t="shared" si="16"/>
        <v>0.22786735477266509</v>
      </c>
      <c r="AY41" s="6">
        <f t="shared" si="17"/>
        <v>0.61247283021558807</v>
      </c>
      <c r="AZ41" s="6">
        <f t="shared" si="18"/>
        <v>0.61247283021558807</v>
      </c>
      <c r="BA41" s="6">
        <f t="shared" si="19"/>
        <v>0.60909888732903739</v>
      </c>
      <c r="BB41" s="6">
        <f t="shared" si="20"/>
        <v>0.58569599300078801</v>
      </c>
      <c r="BC41" s="6">
        <f t="shared" si="21"/>
        <v>0.36996373839447022</v>
      </c>
    </row>
    <row r="42" spans="2:55" x14ac:dyDescent="0.25">
      <c r="B42" s="40"/>
      <c r="T42" s="6">
        <f>DAYS360("31-12-2009",U42)</f>
        <v>1651</v>
      </c>
      <c r="U42" s="5">
        <v>41852</v>
      </c>
      <c r="V42" s="6" t="s">
        <v>379</v>
      </c>
      <c r="W42" s="6">
        <v>240</v>
      </c>
      <c r="X42" s="6">
        <f>COUNT(W42)</f>
        <v>1</v>
      </c>
      <c r="Y42" s="6">
        <f>SUM(W42)</f>
        <v>240</v>
      </c>
      <c r="Z42" s="6">
        <f>($F$31-Y42)/X42</f>
        <v>518160</v>
      </c>
      <c r="AA42" s="6">
        <f>INT(Z42/60/24)</f>
        <v>359</v>
      </c>
      <c r="AB42" s="6">
        <f>Y42/X42</f>
        <v>240</v>
      </c>
      <c r="AC42" s="6">
        <f>Y42-W43</f>
        <v>0</v>
      </c>
      <c r="AD42" s="33">
        <f>SQRT((AC42*AC42)/COUNT(W42))</f>
        <v>0</v>
      </c>
      <c r="AE42" s="6">
        <f>1/AA42</f>
        <v>2.7855153203342618E-3</v>
      </c>
      <c r="AF42" s="6">
        <f>AE42*EXP(-AE42*(365*1))</f>
        <v>1.007749673042332E-3</v>
      </c>
      <c r="AG42" s="6">
        <f>1-EXP(-AE42*(365*1))</f>
        <v>0.63821786737780273</v>
      </c>
      <c r="AH42" s="6">
        <f>EXP(-AE42*(365*1))</f>
        <v>0.36178213262219722</v>
      </c>
      <c r="AI42" s="6">
        <f>$F$31/(Y42+$F$31)*100</f>
        <v>99.953725127255893</v>
      </c>
      <c r="AJ42">
        <f t="shared" si="23"/>
        <v>181</v>
      </c>
      <c r="AK42" s="6">
        <f t="shared" si="3"/>
        <v>0.60058016161074745</v>
      </c>
      <c r="AL42" s="6">
        <f t="shared" si="4"/>
        <v>0.36379193411247712</v>
      </c>
      <c r="AM42" s="6">
        <f t="shared" si="5"/>
        <v>0.60400169607474108</v>
      </c>
      <c r="AN42" s="6">
        <f t="shared" si="6"/>
        <v>0.36379193411247712</v>
      </c>
      <c r="AO42" s="6">
        <f t="shared" si="7"/>
        <v>0.60058016161074745</v>
      </c>
      <c r="AP42" s="6">
        <f t="shared" si="8"/>
        <v>0.60400169607474108</v>
      </c>
      <c r="AQ42" s="6">
        <f t="shared" si="9"/>
        <v>0.60400169607474108</v>
      </c>
      <c r="AR42" s="6">
        <f t="shared" si="10"/>
        <v>0.35965901747804996</v>
      </c>
      <c r="AS42" s="6">
        <f t="shared" si="11"/>
        <v>0.36379193411247712</v>
      </c>
      <c r="AT42" s="6">
        <f t="shared" si="12"/>
        <v>0.60400169607474108</v>
      </c>
      <c r="AU42" s="6">
        <f t="shared" si="13"/>
        <v>0.60400169607474108</v>
      </c>
      <c r="AV42" s="6">
        <f t="shared" si="14"/>
        <v>0.60400169607474108</v>
      </c>
      <c r="AW42" s="6">
        <f t="shared" si="15"/>
        <v>0.60058016161074745</v>
      </c>
      <c r="AX42" s="6">
        <f t="shared" si="16"/>
        <v>0.21849144831445771</v>
      </c>
      <c r="AY42" s="6">
        <f t="shared" si="17"/>
        <v>0.60400169607474108</v>
      </c>
      <c r="AZ42" s="6">
        <f t="shared" si="18"/>
        <v>0.60400169607474108</v>
      </c>
      <c r="BA42" s="6">
        <f t="shared" si="19"/>
        <v>0.60058016161074745</v>
      </c>
      <c r="BB42" s="6">
        <f t="shared" si="20"/>
        <v>0.57686213470093795</v>
      </c>
      <c r="BC42" s="6">
        <f t="shared" si="21"/>
        <v>0.35965901747804996</v>
      </c>
    </row>
    <row r="43" spans="2:55" x14ac:dyDescent="0.25">
      <c r="B43" t="s">
        <v>234</v>
      </c>
      <c r="T43" s="31"/>
      <c r="U43" s="31"/>
      <c r="V43" s="44" t="s">
        <v>235</v>
      </c>
      <c r="W43" s="6">
        <f>AVERAGE(W42)</f>
        <v>240</v>
      </c>
      <c r="X43" s="31"/>
      <c r="Y43" s="31"/>
      <c r="Z43" s="31"/>
      <c r="AA43" s="31"/>
      <c r="AB43" s="31"/>
      <c r="AC43" s="31"/>
      <c r="AD43" s="31"/>
      <c r="AE43" s="31"/>
      <c r="AF43" s="31"/>
      <c r="AG43" s="31"/>
      <c r="AH43" s="31"/>
      <c r="AI43" s="31"/>
      <c r="AJ43">
        <f t="shared" si="23"/>
        <v>186</v>
      </c>
      <c r="AK43" s="6">
        <f t="shared" si="3"/>
        <v>0.59218057695374171</v>
      </c>
      <c r="AL43" s="6">
        <f t="shared" si="4"/>
        <v>0.35377076034770455</v>
      </c>
      <c r="AM43" s="6">
        <f t="shared" si="5"/>
        <v>0.5956477265003729</v>
      </c>
      <c r="AN43" s="6">
        <f t="shared" si="6"/>
        <v>0.35377076034770455</v>
      </c>
      <c r="AO43" s="6">
        <f t="shared" si="7"/>
        <v>0.59218057695374171</v>
      </c>
      <c r="AP43" s="6">
        <f t="shared" si="8"/>
        <v>0.5956477265003729</v>
      </c>
      <c r="AQ43" s="6">
        <f t="shared" si="9"/>
        <v>0.5956477265003729</v>
      </c>
      <c r="AR43" s="6">
        <f t="shared" si="10"/>
        <v>0.34964131732108611</v>
      </c>
      <c r="AS43" s="6">
        <f t="shared" si="11"/>
        <v>0.35377076034770455</v>
      </c>
      <c r="AT43" s="6">
        <f t="shared" si="12"/>
        <v>0.5956477265003729</v>
      </c>
      <c r="AU43" s="6">
        <f t="shared" si="13"/>
        <v>0.5956477265003729</v>
      </c>
      <c r="AV43" s="6">
        <f t="shared" si="14"/>
        <v>0.5956477265003729</v>
      </c>
      <c r="AW43" s="6">
        <f t="shared" si="15"/>
        <v>0.59218057695374171</v>
      </c>
      <c r="AX43" s="6">
        <f t="shared" si="16"/>
        <v>0.20950132604196997</v>
      </c>
      <c r="AY43" s="6">
        <f t="shared" si="17"/>
        <v>0.5956477265003729</v>
      </c>
      <c r="AZ43" s="6">
        <f t="shared" si="18"/>
        <v>0.5956477265003729</v>
      </c>
      <c r="BA43" s="6">
        <f t="shared" si="19"/>
        <v>0.59218057695374171</v>
      </c>
      <c r="BB43" s="6">
        <f t="shared" si="20"/>
        <v>0.5681615145543184</v>
      </c>
      <c r="BC43" s="6">
        <f t="shared" si="21"/>
        <v>0.34964131732108611</v>
      </c>
    </row>
    <row r="44" spans="2:55" x14ac:dyDescent="0.25">
      <c r="T44" s="6">
        <f>DAYS360("31-12-2009",U44)</f>
        <v>575</v>
      </c>
      <c r="U44" s="5">
        <v>40760</v>
      </c>
      <c r="V44" s="6" t="s">
        <v>377</v>
      </c>
      <c r="W44" s="33">
        <f>5*24*60</f>
        <v>7200</v>
      </c>
      <c r="X44" s="6">
        <f>COUNT(W44)</f>
        <v>1</v>
      </c>
      <c r="Y44" s="6">
        <f>SUM(W44)</f>
        <v>7200</v>
      </c>
      <c r="Z44" s="6">
        <f>($F$31-Y44)/X44</f>
        <v>511200</v>
      </c>
      <c r="AA44" s="6">
        <f>INT(Z44/60/24)</f>
        <v>355</v>
      </c>
      <c r="AB44" s="6">
        <f>Y44/X44</f>
        <v>7200</v>
      </c>
      <c r="AC44" s="6">
        <f>Y44-W45</f>
        <v>0</v>
      </c>
      <c r="AD44" s="33">
        <f>SQRT((AC44*AC44)/COUNT(W44))</f>
        <v>0</v>
      </c>
      <c r="AE44" s="6">
        <f>1/AA44</f>
        <v>2.8169014084507044E-3</v>
      </c>
      <c r="AF44" s="6">
        <f>AE44*EXP(-AE44*(365*1))</f>
        <v>1.0074964340442004E-3</v>
      </c>
      <c r="AG44" s="6">
        <f>1-EXP(-AE44*(365*1))</f>
        <v>0.64233876591430894</v>
      </c>
      <c r="AH44" s="6">
        <f>EXP(-AE44*(365*1))</f>
        <v>0.35766123408569112</v>
      </c>
      <c r="AI44" s="6">
        <f>$F$31/(Y44+$F$31)*100</f>
        <v>98.630136986301366</v>
      </c>
      <c r="AJ44">
        <f t="shared" si="23"/>
        <v>191</v>
      </c>
      <c r="AK44" s="6">
        <f t="shared" si="3"/>
        <v>0.58389846707682369</v>
      </c>
      <c r="AL44" s="6">
        <f t="shared" si="4"/>
        <v>0.34402563427450272</v>
      </c>
      <c r="AM44" s="6">
        <f t="shared" si="5"/>
        <v>0.58740930098507438</v>
      </c>
      <c r="AN44" s="6">
        <f t="shared" si="6"/>
        <v>0.34402563427450272</v>
      </c>
      <c r="AO44" s="6">
        <f t="shared" si="7"/>
        <v>0.58389846707682369</v>
      </c>
      <c r="AP44" s="6">
        <f t="shared" si="8"/>
        <v>0.58740930098507438</v>
      </c>
      <c r="AQ44" s="6">
        <f t="shared" si="9"/>
        <v>0.58740930098507438</v>
      </c>
      <c r="AR44" s="6">
        <f t="shared" si="10"/>
        <v>0.33990264344056198</v>
      </c>
      <c r="AS44" s="6">
        <f t="shared" si="11"/>
        <v>0.34402563427450272</v>
      </c>
      <c r="AT44" s="6">
        <f t="shared" si="12"/>
        <v>0.58740930098507438</v>
      </c>
      <c r="AU44" s="6">
        <f t="shared" si="13"/>
        <v>0.58740930098507438</v>
      </c>
      <c r="AV44" s="6">
        <f t="shared" si="14"/>
        <v>0.58740930098507438</v>
      </c>
      <c r="AW44" s="6">
        <f t="shared" si="15"/>
        <v>0.58389846707682369</v>
      </c>
      <c r="AX44" s="6">
        <f t="shared" si="16"/>
        <v>0.20088111434995476</v>
      </c>
      <c r="AY44" s="6">
        <f t="shared" si="17"/>
        <v>0.58740930098507438</v>
      </c>
      <c r="AZ44" s="6">
        <f t="shared" si="18"/>
        <v>0.58740930098507438</v>
      </c>
      <c r="BA44" s="6">
        <f t="shared" si="19"/>
        <v>0.58389846707682369</v>
      </c>
      <c r="BB44" s="6">
        <f t="shared" si="20"/>
        <v>0.5595921229740789</v>
      </c>
      <c r="BC44" s="6">
        <f t="shared" si="21"/>
        <v>0.33990264344056198</v>
      </c>
    </row>
    <row r="45" spans="2:55" x14ac:dyDescent="0.25">
      <c r="B45" t="s">
        <v>225</v>
      </c>
      <c r="T45" s="31"/>
      <c r="U45" s="31"/>
      <c r="V45" s="43" t="s">
        <v>235</v>
      </c>
      <c r="W45" s="6">
        <f>AVERAGE(W44)</f>
        <v>7200</v>
      </c>
      <c r="X45" s="31"/>
      <c r="Y45" s="31"/>
      <c r="Z45" s="31"/>
      <c r="AA45" s="31"/>
      <c r="AB45" s="31"/>
      <c r="AC45" s="31"/>
      <c r="AD45" s="31"/>
      <c r="AE45" s="31"/>
      <c r="AF45" s="31"/>
      <c r="AG45" s="31"/>
      <c r="AH45" s="31"/>
      <c r="AI45" s="31"/>
      <c r="AJ45">
        <f t="shared" si="23"/>
        <v>196</v>
      </c>
      <c r="AK45" s="6">
        <f t="shared" si="3"/>
        <v>0.57573218900304624</v>
      </c>
      <c r="AL45" s="6">
        <f t="shared" si="4"/>
        <v>0.33454895176087951</v>
      </c>
      <c r="AM45" s="6">
        <f t="shared" si="5"/>
        <v>0.57928482143473381</v>
      </c>
      <c r="AN45" s="6">
        <f t="shared" si="6"/>
        <v>0.33454895176087951</v>
      </c>
      <c r="AO45" s="6">
        <f t="shared" si="7"/>
        <v>0.57573218900304624</v>
      </c>
      <c r="AP45" s="6">
        <f t="shared" si="8"/>
        <v>0.57928482143473381</v>
      </c>
      <c r="AQ45" s="6">
        <f t="shared" si="9"/>
        <v>0.57928482143473381</v>
      </c>
      <c r="AR45" s="6">
        <f t="shared" si="10"/>
        <v>0.33043522402640879</v>
      </c>
      <c r="AS45" s="6">
        <f t="shared" si="11"/>
        <v>0.33454895176087951</v>
      </c>
      <c r="AT45" s="6">
        <f t="shared" si="12"/>
        <v>0.57928482143473381</v>
      </c>
      <c r="AU45" s="6">
        <f t="shared" si="13"/>
        <v>0.57928482143473381</v>
      </c>
      <c r="AV45" s="6">
        <f t="shared" si="14"/>
        <v>0.57928482143473381</v>
      </c>
      <c r="AW45" s="6">
        <f t="shared" si="15"/>
        <v>0.57573218900304624</v>
      </c>
      <c r="AX45" s="6">
        <f t="shared" si="16"/>
        <v>0.19261559277384013</v>
      </c>
      <c r="AY45" s="6">
        <f t="shared" si="17"/>
        <v>0.57928482143473381</v>
      </c>
      <c r="AZ45" s="6">
        <f t="shared" si="18"/>
        <v>0.57928482143473381</v>
      </c>
      <c r="BA45" s="6">
        <f t="shared" si="19"/>
        <v>0.57573218900304624</v>
      </c>
      <c r="BB45" s="6">
        <f t="shared" si="20"/>
        <v>0.55115198068330085</v>
      </c>
      <c r="BC45" s="6">
        <f t="shared" si="21"/>
        <v>0.33043522402640879</v>
      </c>
    </row>
    <row r="46" spans="2:55" x14ac:dyDescent="0.25">
      <c r="C46" t="s">
        <v>226</v>
      </c>
      <c r="T46" s="6">
        <f>DAYS360("31-12-2009",U46)</f>
        <v>1627</v>
      </c>
      <c r="U46" s="5">
        <v>41827</v>
      </c>
      <c r="V46" s="6" t="s">
        <v>377</v>
      </c>
      <c r="W46" s="6">
        <v>44640</v>
      </c>
      <c r="X46" s="6">
        <f>COUNT(W46)</f>
        <v>1</v>
      </c>
      <c r="Y46" s="6">
        <f>SUM(W46)</f>
        <v>44640</v>
      </c>
      <c r="Z46" s="6">
        <f>($F$31-Y46)/X46</f>
        <v>473760</v>
      </c>
      <c r="AA46" s="6">
        <f>INT(Z46/60/24)</f>
        <v>329</v>
      </c>
      <c r="AB46" s="6">
        <f>Y46/X46</f>
        <v>44640</v>
      </c>
      <c r="AC46" s="6">
        <f>Y46-W47</f>
        <v>0</v>
      </c>
      <c r="AD46" s="33">
        <f>SQRT((AC46*AC46)/COUNT(W46))</f>
        <v>0</v>
      </c>
      <c r="AE46" s="6">
        <f>1/AA46</f>
        <v>3.0395136778115501E-3</v>
      </c>
      <c r="AF46" s="6">
        <f>AE46*EXP(-AE46*(365*1))</f>
        <v>1.0022776256731643E-3</v>
      </c>
      <c r="AG46" s="6">
        <f>1-EXP(-AE46*(365*1))</f>
        <v>0.67025066115352894</v>
      </c>
      <c r="AH46" s="6">
        <f>EXP(-AE46*(365*1))</f>
        <v>0.32974933884647106</v>
      </c>
      <c r="AI46" s="6">
        <f>$F$31/(Y46+$F$31)*100</f>
        <v>92.071611253196934</v>
      </c>
      <c r="AJ46">
        <f t="shared" si="23"/>
        <v>201</v>
      </c>
      <c r="AK46" s="6">
        <f t="shared" si="3"/>
        <v>0.56768012273378343</v>
      </c>
      <c r="AL46" s="6">
        <f t="shared" si="4"/>
        <v>0.32533331814163124</v>
      </c>
      <c r="AM46" s="6">
        <f t="shared" si="5"/>
        <v>0.57127271185853779</v>
      </c>
      <c r="AN46" s="6">
        <f t="shared" si="6"/>
        <v>0.32533331814163124</v>
      </c>
      <c r="AO46" s="6">
        <f t="shared" si="7"/>
        <v>0.56768012273378343</v>
      </c>
      <c r="AP46" s="6">
        <f t="shared" si="8"/>
        <v>0.57127271185853779</v>
      </c>
      <c r="AQ46" s="6">
        <f t="shared" si="9"/>
        <v>0.57127271185853779</v>
      </c>
      <c r="AR46" s="6">
        <f t="shared" si="10"/>
        <v>0.32123150373932391</v>
      </c>
      <c r="AS46" s="6">
        <f t="shared" si="11"/>
        <v>0.32533331814163124</v>
      </c>
      <c r="AT46" s="6">
        <f t="shared" si="12"/>
        <v>0.57127271185853779</v>
      </c>
      <c r="AU46" s="6">
        <f t="shared" si="13"/>
        <v>0.57127271185853779</v>
      </c>
      <c r="AV46" s="6">
        <f t="shared" si="14"/>
        <v>0.57127271185853779</v>
      </c>
      <c r="AW46" s="6">
        <f t="shared" si="15"/>
        <v>0.56768012273378343</v>
      </c>
      <c r="AX46" s="6">
        <f t="shared" si="16"/>
        <v>0.18469016711538452</v>
      </c>
      <c r="AY46" s="6">
        <f t="shared" si="17"/>
        <v>0.57127271185853779</v>
      </c>
      <c r="AZ46" s="6">
        <f t="shared" si="18"/>
        <v>0.57127271185853779</v>
      </c>
      <c r="BA46" s="6">
        <f t="shared" si="19"/>
        <v>0.56768012273378343</v>
      </c>
      <c r="BB46" s="6">
        <f t="shared" si="20"/>
        <v>0.54283913825784258</v>
      </c>
      <c r="BC46" s="6">
        <f t="shared" si="21"/>
        <v>0.32123150373932391</v>
      </c>
    </row>
    <row r="47" spans="2:55" x14ac:dyDescent="0.25">
      <c r="C47" t="s">
        <v>227</v>
      </c>
      <c r="T47" s="31"/>
      <c r="U47" s="31"/>
      <c r="V47" s="43" t="s">
        <v>235</v>
      </c>
      <c r="W47" s="6">
        <f>AVERAGE(W46)</f>
        <v>44640</v>
      </c>
      <c r="X47" s="31"/>
      <c r="Y47" s="31"/>
      <c r="Z47" s="31"/>
      <c r="AA47" s="31"/>
      <c r="AB47" s="31"/>
      <c r="AC47" s="31"/>
      <c r="AD47" s="31"/>
      <c r="AE47" s="31"/>
      <c r="AF47" s="31"/>
      <c r="AG47" s="31"/>
      <c r="AH47" s="31"/>
      <c r="AI47" s="31"/>
      <c r="AJ47">
        <f t="shared" si="23"/>
        <v>206</v>
      </c>
      <c r="AK47" s="6">
        <f t="shared" si="3"/>
        <v>0.55974067092736135</v>
      </c>
      <c r="AL47" s="6">
        <f t="shared" si="4"/>
        <v>0.31637154244827759</v>
      </c>
      <c r="AM47" s="6">
        <f t="shared" si="5"/>
        <v>0.56337141806325919</v>
      </c>
      <c r="AN47" s="6">
        <f t="shared" si="6"/>
        <v>0.31637154244827759</v>
      </c>
      <c r="AO47" s="6">
        <f t="shared" si="7"/>
        <v>0.55974067092736135</v>
      </c>
      <c r="AP47" s="6">
        <f t="shared" si="8"/>
        <v>0.56337141806325919</v>
      </c>
      <c r="AQ47" s="6">
        <f t="shared" si="9"/>
        <v>0.56337141806325919</v>
      </c>
      <c r="AR47" s="6">
        <f t="shared" si="10"/>
        <v>0.31228413768133945</v>
      </c>
      <c r="AS47" s="6">
        <f t="shared" si="11"/>
        <v>0.31637154244827759</v>
      </c>
      <c r="AT47" s="6">
        <f t="shared" si="12"/>
        <v>0.56337141806325919</v>
      </c>
      <c r="AU47" s="6">
        <f t="shared" si="13"/>
        <v>0.56337141806325919</v>
      </c>
      <c r="AV47" s="6">
        <f t="shared" si="14"/>
        <v>0.56337141806325919</v>
      </c>
      <c r="AW47" s="6">
        <f t="shared" si="15"/>
        <v>0.55974067092736135</v>
      </c>
      <c r="AX47" s="6">
        <f t="shared" si="16"/>
        <v>0.17709084367411268</v>
      </c>
      <c r="AY47" s="6">
        <f t="shared" si="17"/>
        <v>0.56337141806325919</v>
      </c>
      <c r="AZ47" s="6">
        <f t="shared" si="18"/>
        <v>0.56337141806325919</v>
      </c>
      <c r="BA47" s="6">
        <f t="shared" si="19"/>
        <v>0.55974067092736135</v>
      </c>
      <c r="BB47" s="6">
        <f t="shared" si="20"/>
        <v>0.53465167567607952</v>
      </c>
      <c r="BC47" s="6">
        <f t="shared" si="21"/>
        <v>0.31228413768133945</v>
      </c>
    </row>
    <row r="48" spans="2:55" x14ac:dyDescent="0.25">
      <c r="C48" t="s">
        <v>228</v>
      </c>
      <c r="T48" s="6">
        <f>DAYS360("31-12-2009",U48)</f>
        <v>2119</v>
      </c>
      <c r="U48" s="5">
        <v>42327</v>
      </c>
      <c r="V48" s="6" t="s">
        <v>377</v>
      </c>
      <c r="W48" s="30">
        <f>5*25*60</f>
        <v>7500</v>
      </c>
      <c r="X48" s="31"/>
      <c r="Y48" s="31"/>
      <c r="Z48" s="31"/>
      <c r="AA48" s="31"/>
      <c r="AB48" s="31"/>
      <c r="AC48" s="31"/>
      <c r="AD48" s="31"/>
      <c r="AE48" s="31"/>
      <c r="AF48" s="31"/>
      <c r="AG48" s="31"/>
      <c r="AH48" s="31"/>
      <c r="AI48" s="31"/>
      <c r="AJ48">
        <f t="shared" si="23"/>
        <v>211</v>
      </c>
      <c r="AK48" s="6">
        <f t="shared" si="3"/>
        <v>0.55191225858218174</v>
      </c>
      <c r="AL48" s="6">
        <f t="shared" si="4"/>
        <v>0.30765663179794123</v>
      </c>
      <c r="AM48" s="6">
        <f t="shared" si="5"/>
        <v>0.5555794073517748</v>
      </c>
      <c r="AN48" s="6">
        <f t="shared" si="6"/>
        <v>0.30765663179794123</v>
      </c>
      <c r="AO48" s="6">
        <f t="shared" si="7"/>
        <v>0.55191225858218174</v>
      </c>
      <c r="AP48" s="6">
        <f t="shared" si="8"/>
        <v>0.5555794073517748</v>
      </c>
      <c r="AQ48" s="6">
        <f t="shared" si="9"/>
        <v>0.5555794073517748</v>
      </c>
      <c r="AR48" s="6">
        <f t="shared" si="10"/>
        <v>0.30358598553433092</v>
      </c>
      <c r="AS48" s="6">
        <f t="shared" si="11"/>
        <v>0.30765663179794123</v>
      </c>
      <c r="AT48" s="6">
        <f t="shared" si="12"/>
        <v>0.5555794073517748</v>
      </c>
      <c r="AU48" s="6">
        <f t="shared" si="13"/>
        <v>0.5555794073517748</v>
      </c>
      <c r="AV48" s="6">
        <f t="shared" si="14"/>
        <v>0.5555794073517748</v>
      </c>
      <c r="AW48" s="6">
        <f t="shared" si="15"/>
        <v>0.55191225858218174</v>
      </c>
      <c r="AX48" s="6">
        <f t="shared" si="16"/>
        <v>0.16980420453903336</v>
      </c>
      <c r="AY48" s="6">
        <f t="shared" si="17"/>
        <v>0.5555794073517748</v>
      </c>
      <c r="AZ48" s="6">
        <f t="shared" si="18"/>
        <v>0.5555794073517748</v>
      </c>
      <c r="BA48" s="6">
        <f t="shared" si="19"/>
        <v>0.55191225858218174</v>
      </c>
      <c r="BB48" s="6">
        <f t="shared" si="20"/>
        <v>0.5265877018754368</v>
      </c>
      <c r="BC48" s="6">
        <f t="shared" si="21"/>
        <v>0.30358598553433092</v>
      </c>
    </row>
    <row r="49" spans="2:55" x14ac:dyDescent="0.25">
      <c r="T49" s="6">
        <f>DAYS360("31-12-2009",U49)</f>
        <v>2133</v>
      </c>
      <c r="U49" s="5">
        <v>42341</v>
      </c>
      <c r="V49" s="6" t="s">
        <v>377</v>
      </c>
      <c r="W49" s="30">
        <v>180</v>
      </c>
      <c r="X49" s="6">
        <f>COUNT(W48:W49)</f>
        <v>2</v>
      </c>
      <c r="Y49" s="6">
        <f>SUM(W48:W49)</f>
        <v>7680</v>
      </c>
      <c r="Z49" s="6">
        <f>($F$31-Y49)/X49</f>
        <v>255360</v>
      </c>
      <c r="AA49" s="6">
        <f>INT(Z49/60/24)</f>
        <v>177</v>
      </c>
      <c r="AB49" s="6">
        <f>Y49/X49</f>
        <v>3840</v>
      </c>
      <c r="AC49" s="6">
        <f>Y49-W50</f>
        <v>3840</v>
      </c>
      <c r="AD49" s="33">
        <f>SQRT((AC49*AC49)/COUNT(W48:W49))</f>
        <v>2715.2900397563426</v>
      </c>
      <c r="AE49" s="6">
        <f>1/AA49</f>
        <v>5.6497175141242938E-3</v>
      </c>
      <c r="AF49" s="6">
        <f>AE49*EXP(-AE49*(365*1))</f>
        <v>7.1853465209027485E-4</v>
      </c>
      <c r="AG49" s="6">
        <f>1-EXP(-AE49*(365*1))</f>
        <v>0.87281936658002135</v>
      </c>
      <c r="AH49" s="6">
        <f>EXP(-AE49*(365*1))</f>
        <v>0.12718063341997865</v>
      </c>
      <c r="AI49" s="6">
        <f>$F$31/(Y49+$F$31)*100</f>
        <v>98.540145985401466</v>
      </c>
      <c r="AJ49">
        <f t="shared" si="23"/>
        <v>216</v>
      </c>
      <c r="AK49" s="6">
        <f t="shared" si="3"/>
        <v>0.54419333272427961</v>
      </c>
      <c r="AL49" s="6">
        <f t="shared" si="4"/>
        <v>0.29918178593679412</v>
      </c>
      <c r="AM49" s="6">
        <f t="shared" si="5"/>
        <v>0.54789516822575102</v>
      </c>
      <c r="AN49" s="6">
        <f t="shared" si="6"/>
        <v>0.29918178593679412</v>
      </c>
      <c r="AO49" s="6">
        <f t="shared" si="7"/>
        <v>0.54419333272427961</v>
      </c>
      <c r="AP49" s="6">
        <f t="shared" si="8"/>
        <v>0.54789516822575102</v>
      </c>
      <c r="AQ49" s="6">
        <f t="shared" si="9"/>
        <v>0.54789516822575102</v>
      </c>
      <c r="AR49" s="6">
        <f t="shared" si="10"/>
        <v>0.29513010586178834</v>
      </c>
      <c r="AS49" s="6">
        <f t="shared" si="11"/>
        <v>0.29918178593679412</v>
      </c>
      <c r="AT49" s="6">
        <f t="shared" si="12"/>
        <v>0.54789516822575102</v>
      </c>
      <c r="AU49" s="6">
        <f t="shared" si="13"/>
        <v>0.54789516822575102</v>
      </c>
      <c r="AV49" s="6">
        <f t="shared" si="14"/>
        <v>0.54789516822575102</v>
      </c>
      <c r="AW49" s="6">
        <f t="shared" si="15"/>
        <v>0.54419333272427961</v>
      </c>
      <c r="AX49" s="6">
        <f t="shared" si="16"/>
        <v>0.16281738389701275</v>
      </c>
      <c r="AY49" s="6">
        <f t="shared" si="17"/>
        <v>0.54789516822575102</v>
      </c>
      <c r="AZ49" s="6">
        <f t="shared" si="18"/>
        <v>0.54789516822575102</v>
      </c>
      <c r="BA49" s="6">
        <f t="shared" si="19"/>
        <v>0.54419333272427961</v>
      </c>
      <c r="BB49" s="6">
        <f t="shared" si="20"/>
        <v>0.51864535431560821</v>
      </c>
      <c r="BC49" s="6">
        <f t="shared" si="21"/>
        <v>0.29513010586178834</v>
      </c>
    </row>
    <row r="50" spans="2:55" x14ac:dyDescent="0.25">
      <c r="B50" t="s">
        <v>229</v>
      </c>
      <c r="T50" s="31"/>
      <c r="U50" s="31"/>
      <c r="V50" s="43" t="s">
        <v>235</v>
      </c>
      <c r="W50" s="6">
        <f>AVERAGE(W48:W49)</f>
        <v>3840</v>
      </c>
      <c r="X50" s="31"/>
      <c r="Y50" s="31"/>
      <c r="Z50" s="31"/>
      <c r="AA50" s="31"/>
      <c r="AB50" s="31"/>
      <c r="AC50" s="31"/>
      <c r="AD50" s="31"/>
      <c r="AE50" s="31"/>
      <c r="AF50" s="31"/>
      <c r="AG50" s="31"/>
      <c r="AH50" s="31"/>
      <c r="AI50" s="31"/>
      <c r="AJ50">
        <f t="shared" si="23"/>
        <v>221</v>
      </c>
      <c r="AK50" s="6">
        <f t="shared" si="3"/>
        <v>0.53658236209924881</v>
      </c>
      <c r="AL50" s="6">
        <f t="shared" si="4"/>
        <v>0.29094039193381266</v>
      </c>
      <c r="AM50" s="6">
        <f t="shared" si="5"/>
        <v>0.54031721009244316</v>
      </c>
      <c r="AN50" s="6">
        <f t="shared" si="6"/>
        <v>0.29094039193381266</v>
      </c>
      <c r="AO50" s="6">
        <f t="shared" si="7"/>
        <v>0.53658236209924881</v>
      </c>
      <c r="AP50" s="6">
        <f t="shared" si="8"/>
        <v>0.54031721009244316</v>
      </c>
      <c r="AQ50" s="6">
        <f t="shared" si="9"/>
        <v>0.54031721009244316</v>
      </c>
      <c r="AR50" s="6">
        <f t="shared" si="10"/>
        <v>0.28690975056930129</v>
      </c>
      <c r="AS50" s="6">
        <f t="shared" si="11"/>
        <v>0.29094039193381266</v>
      </c>
      <c r="AT50" s="6">
        <f t="shared" si="12"/>
        <v>0.54031721009244316</v>
      </c>
      <c r="AU50" s="6">
        <f t="shared" si="13"/>
        <v>0.54031721009244316</v>
      </c>
      <c r="AV50" s="6">
        <f t="shared" si="14"/>
        <v>0.54031721009244316</v>
      </c>
      <c r="AW50" s="6">
        <f t="shared" si="15"/>
        <v>0.53658236209924881</v>
      </c>
      <c r="AX50" s="6">
        <f t="shared" si="16"/>
        <v>0.15611804531597109</v>
      </c>
      <c r="AY50" s="6">
        <f t="shared" si="17"/>
        <v>0.54031721009244316</v>
      </c>
      <c r="AZ50" s="6">
        <f t="shared" si="18"/>
        <v>0.54031721009244316</v>
      </c>
      <c r="BA50" s="6">
        <f t="shared" si="19"/>
        <v>0.53658236209924881</v>
      </c>
      <c r="BB50" s="6">
        <f t="shared" si="20"/>
        <v>0.51082279854836499</v>
      </c>
      <c r="BC50" s="6">
        <f t="shared" si="21"/>
        <v>0.28690975056930129</v>
      </c>
    </row>
    <row r="51" spans="2:55" x14ac:dyDescent="0.25">
      <c r="T51" s="60"/>
      <c r="U51" s="60"/>
      <c r="V51" s="61"/>
      <c r="W51" s="60"/>
      <c r="X51" s="60"/>
      <c r="Y51" s="60"/>
      <c r="Z51" s="60"/>
      <c r="AA51" s="60"/>
      <c r="AB51" s="60"/>
      <c r="AC51" s="60"/>
      <c r="AD51" s="60"/>
      <c r="AE51" s="60"/>
      <c r="AF51" s="60"/>
      <c r="AG51" s="60"/>
      <c r="AH51" s="60"/>
      <c r="AI51" s="60"/>
      <c r="AJ51">
        <f t="shared" si="23"/>
        <v>226</v>
      </c>
      <c r="AK51" s="6">
        <f t="shared" si="3"/>
        <v>0.52907783686847731</v>
      </c>
      <c r="AL51" s="6">
        <f t="shared" si="4"/>
        <v>0.28292601902070036</v>
      </c>
      <c r="AM51" s="6">
        <f t="shared" si="5"/>
        <v>0.53284406297554965</v>
      </c>
      <c r="AN51" s="6">
        <f t="shared" si="6"/>
        <v>0.28292601902070036</v>
      </c>
      <c r="AO51" s="6">
        <f t="shared" si="7"/>
        <v>0.52907783686847731</v>
      </c>
      <c r="AP51" s="6">
        <f t="shared" si="8"/>
        <v>0.53284406297554965</v>
      </c>
      <c r="AQ51" s="6">
        <f t="shared" si="9"/>
        <v>0.53284406297554965</v>
      </c>
      <c r="AR51" s="6">
        <f t="shared" si="10"/>
        <v>0.27891835951933835</v>
      </c>
      <c r="AS51" s="6">
        <f t="shared" si="11"/>
        <v>0.28292601902070036</v>
      </c>
      <c r="AT51" s="6">
        <f t="shared" si="12"/>
        <v>0.53284406297554965</v>
      </c>
      <c r="AU51" s="6">
        <f t="shared" si="13"/>
        <v>0.53284406297554965</v>
      </c>
      <c r="AV51" s="6">
        <f t="shared" si="14"/>
        <v>0.53284406297554965</v>
      </c>
      <c r="AW51" s="6">
        <f t="shared" si="15"/>
        <v>0.52907783686847731</v>
      </c>
      <c r="AX51" s="6">
        <f t="shared" si="16"/>
        <v>0.14969435996279248</v>
      </c>
      <c r="AY51" s="6">
        <f t="shared" si="17"/>
        <v>0.53284406297554965</v>
      </c>
      <c r="AZ51" s="6">
        <f t="shared" si="18"/>
        <v>0.53284406297554965</v>
      </c>
      <c r="BA51" s="6">
        <f t="shared" si="19"/>
        <v>0.52907783686847731</v>
      </c>
      <c r="BB51" s="6">
        <f t="shared" si="20"/>
        <v>0.5031182277938524</v>
      </c>
      <c r="BC51" s="6">
        <f t="shared" si="21"/>
        <v>0.27891835951933835</v>
      </c>
    </row>
    <row r="52" spans="2:55" x14ac:dyDescent="0.25">
      <c r="AI52" s="60"/>
      <c r="AJ52">
        <f t="shared" si="23"/>
        <v>231</v>
      </c>
      <c r="AK52" s="6">
        <f t="shared" si="3"/>
        <v>0.52167826830963016</v>
      </c>
      <c r="AL52" s="6">
        <f t="shared" si="4"/>
        <v>0.27513241357395296</v>
      </c>
      <c r="AM52" s="6">
        <f t="shared" si="5"/>
        <v>0.52547427723006446</v>
      </c>
      <c r="AN52" s="6">
        <f t="shared" si="6"/>
        <v>0.27513241357395296</v>
      </c>
      <c r="AO52" s="6">
        <f t="shared" si="7"/>
        <v>0.52167826830963016</v>
      </c>
      <c r="AP52" s="6">
        <f t="shared" si="8"/>
        <v>0.52547427723006446</v>
      </c>
      <c r="AQ52" s="6">
        <f t="shared" si="9"/>
        <v>0.52547427723006446</v>
      </c>
      <c r="AR52" s="6">
        <f t="shared" si="10"/>
        <v>0.27114955529602286</v>
      </c>
      <c r="AS52" s="6">
        <f t="shared" si="11"/>
        <v>0.27513241357395296</v>
      </c>
      <c r="AT52" s="6">
        <f t="shared" si="12"/>
        <v>0.52547427723006446</v>
      </c>
      <c r="AU52" s="6">
        <f t="shared" si="13"/>
        <v>0.52547427723006446</v>
      </c>
      <c r="AV52" s="6">
        <f t="shared" si="14"/>
        <v>0.52547427723006446</v>
      </c>
      <c r="AW52" s="6">
        <f t="shared" si="15"/>
        <v>0.52167826830963016</v>
      </c>
      <c r="AX52" s="6">
        <f t="shared" si="16"/>
        <v>0.14353498571748824</v>
      </c>
      <c r="AY52" s="6">
        <f t="shared" si="17"/>
        <v>0.52547427723006446</v>
      </c>
      <c r="AZ52" s="6">
        <f t="shared" si="18"/>
        <v>0.52547427723006446</v>
      </c>
      <c r="BA52" s="6">
        <f t="shared" si="19"/>
        <v>0.52167826830963016</v>
      </c>
      <c r="BB52" s="6">
        <f t="shared" si="20"/>
        <v>0.4955298625232768</v>
      </c>
      <c r="BC52" s="6">
        <f t="shared" si="21"/>
        <v>0.27114955529602286</v>
      </c>
    </row>
    <row r="53" spans="2:55" x14ac:dyDescent="0.25">
      <c r="AI53" s="60"/>
      <c r="AJ53">
        <f t="shared" si="23"/>
        <v>236</v>
      </c>
      <c r="AK53" s="6">
        <f t="shared" si="3"/>
        <v>0.51438218852132234</v>
      </c>
      <c r="AL53" s="6">
        <f t="shared" si="4"/>
        <v>0.26755349423514935</v>
      </c>
      <c r="AM53" s="6">
        <f t="shared" si="5"/>
        <v>0.51820642326107513</v>
      </c>
      <c r="AN53" s="6">
        <f t="shared" si="6"/>
        <v>0.26755349423514935</v>
      </c>
      <c r="AO53" s="6">
        <f t="shared" si="7"/>
        <v>0.51438218852132234</v>
      </c>
      <c r="AP53" s="6">
        <f t="shared" si="8"/>
        <v>0.51820642326107513</v>
      </c>
      <c r="AQ53" s="6">
        <f t="shared" si="9"/>
        <v>0.51820642326107513</v>
      </c>
      <c r="AR53" s="6">
        <f t="shared" si="10"/>
        <v>0.26359713811572677</v>
      </c>
      <c r="AS53" s="6">
        <f t="shared" si="11"/>
        <v>0.26755349423514935</v>
      </c>
      <c r="AT53" s="6">
        <f t="shared" si="12"/>
        <v>0.51820642326107513</v>
      </c>
      <c r="AU53" s="6">
        <f t="shared" si="13"/>
        <v>0.51820642326107513</v>
      </c>
      <c r="AV53" s="6">
        <f t="shared" si="14"/>
        <v>0.51820642326107513</v>
      </c>
      <c r="AW53" s="6">
        <f t="shared" si="15"/>
        <v>0.51438218852132234</v>
      </c>
      <c r="AX53" s="6">
        <f t="shared" si="16"/>
        <v>0.13762904714673543</v>
      </c>
      <c r="AY53" s="6">
        <f t="shared" si="17"/>
        <v>0.51820642326107513</v>
      </c>
      <c r="AZ53" s="6">
        <f t="shared" si="18"/>
        <v>0.51820642326107513</v>
      </c>
      <c r="BA53" s="6">
        <f t="shared" si="19"/>
        <v>0.51438218852132234</v>
      </c>
      <c r="BB53" s="6">
        <f t="shared" si="20"/>
        <v>0.48805595004788643</v>
      </c>
      <c r="BC53" s="6">
        <f t="shared" si="21"/>
        <v>0.26359713811572677</v>
      </c>
    </row>
    <row r="54" spans="2:55" x14ac:dyDescent="0.25">
      <c r="AI54" s="60"/>
      <c r="AJ54">
        <f t="shared" si="23"/>
        <v>241</v>
      </c>
      <c r="AK54" s="6">
        <f t="shared" si="3"/>
        <v>0.50718815013192076</v>
      </c>
      <c r="AL54" s="6">
        <f t="shared" si="4"/>
        <v>0.26018334716566116</v>
      </c>
      <c r="AM54" s="6">
        <f t="shared" si="5"/>
        <v>0.51103909124644864</v>
      </c>
      <c r="AN54" s="6">
        <f t="shared" si="6"/>
        <v>0.26018334716566116</v>
      </c>
      <c r="AO54" s="6">
        <f t="shared" si="7"/>
        <v>0.50718815013192076</v>
      </c>
      <c r="AP54" s="6">
        <f t="shared" si="8"/>
        <v>0.51103909124644864</v>
      </c>
      <c r="AQ54" s="6">
        <f t="shared" si="9"/>
        <v>0.51103909124644864</v>
      </c>
      <c r="AR54" s="6">
        <f t="shared" si="10"/>
        <v>0.25625508087942156</v>
      </c>
      <c r="AS54" s="6">
        <f t="shared" si="11"/>
        <v>0.26018334716566116</v>
      </c>
      <c r="AT54" s="6">
        <f t="shared" si="12"/>
        <v>0.51103909124644864</v>
      </c>
      <c r="AU54" s="6">
        <f t="shared" si="13"/>
        <v>0.51103909124644864</v>
      </c>
      <c r="AV54" s="6">
        <f t="shared" si="14"/>
        <v>0.51103909124644864</v>
      </c>
      <c r="AW54" s="6">
        <f t="shared" si="15"/>
        <v>0.50718815013192076</v>
      </c>
      <c r="AX54" s="6">
        <f t="shared" si="16"/>
        <v>0.13196611630143124</v>
      </c>
      <c r="AY54" s="6">
        <f t="shared" si="17"/>
        <v>0.51103909124644864</v>
      </c>
      <c r="AZ54" s="6">
        <f t="shared" si="18"/>
        <v>0.51103909124644864</v>
      </c>
      <c r="BA54" s="6">
        <f t="shared" si="19"/>
        <v>0.50718815013192076</v>
      </c>
      <c r="BB54" s="6">
        <f t="shared" si="20"/>
        <v>0.48069476411415263</v>
      </c>
      <c r="BC54" s="6">
        <f t="shared" si="21"/>
        <v>0.25625508087942156</v>
      </c>
    </row>
    <row r="55" spans="2:55" x14ac:dyDescent="0.25">
      <c r="AI55" s="60"/>
      <c r="AJ55">
        <f t="shared" si="23"/>
        <v>246</v>
      </c>
      <c r="AK55" s="6">
        <f t="shared" si="3"/>
        <v>0.50009472601242033</v>
      </c>
      <c r="AL55" s="6">
        <f t="shared" si="4"/>
        <v>0.2530162214320788</v>
      </c>
      <c r="AM55" s="6">
        <f t="shared" si="5"/>
        <v>0.50397089086335345</v>
      </c>
      <c r="AN55" s="6">
        <f t="shared" si="6"/>
        <v>0.2530162214320788</v>
      </c>
      <c r="AO55" s="6">
        <f t="shared" si="7"/>
        <v>0.50009472601242033</v>
      </c>
      <c r="AP55" s="6">
        <f t="shared" si="8"/>
        <v>0.50397089086335345</v>
      </c>
      <c r="AQ55" s="6">
        <f t="shared" si="9"/>
        <v>0.50397089086335345</v>
      </c>
      <c r="AR55" s="6">
        <f t="shared" si="10"/>
        <v>0.24911752436283782</v>
      </c>
      <c r="AS55" s="6">
        <f t="shared" si="11"/>
        <v>0.2530162214320788</v>
      </c>
      <c r="AT55" s="6">
        <f t="shared" si="12"/>
        <v>0.50397089086335345</v>
      </c>
      <c r="AU55" s="6">
        <f t="shared" si="13"/>
        <v>0.50397089086335345</v>
      </c>
      <c r="AV55" s="6">
        <f t="shared" si="14"/>
        <v>0.50397089086335345</v>
      </c>
      <c r="AW55" s="6">
        <f t="shared" si="15"/>
        <v>0.50009472601242033</v>
      </c>
      <c r="AX55" s="6">
        <f t="shared" si="16"/>
        <v>0.12653619430435736</v>
      </c>
      <c r="AY55" s="6">
        <f t="shared" si="17"/>
        <v>0.50397089086335345</v>
      </c>
      <c r="AZ55" s="6">
        <f t="shared" si="18"/>
        <v>0.50397089086335345</v>
      </c>
      <c r="BA55" s="6">
        <f t="shared" si="19"/>
        <v>0.50009472601242033</v>
      </c>
      <c r="BB55" s="6">
        <f t="shared" si="20"/>
        <v>0.47344460450505571</v>
      </c>
      <c r="BC55" s="6">
        <f t="shared" si="21"/>
        <v>0.24911752436283782</v>
      </c>
    </row>
    <row r="56" spans="2:55" x14ac:dyDescent="0.25">
      <c r="AI56" s="60"/>
      <c r="AJ56">
        <f t="shared" si="23"/>
        <v>251</v>
      </c>
      <c r="AK56" s="6">
        <f t="shared" si="3"/>
        <v>0.49310050899333419</v>
      </c>
      <c r="AL56" s="6">
        <f t="shared" si="4"/>
        <v>0.24604652451875172</v>
      </c>
      <c r="AM56" s="6">
        <f t="shared" si="5"/>
        <v>0.4970004510185641</v>
      </c>
      <c r="AN56" s="6">
        <f t="shared" si="6"/>
        <v>0.24604652451875172</v>
      </c>
      <c r="AO56" s="6">
        <f t="shared" si="7"/>
        <v>0.49310050899333419</v>
      </c>
      <c r="AP56" s="6">
        <f t="shared" si="8"/>
        <v>0.4970004510185641</v>
      </c>
      <c r="AQ56" s="6">
        <f t="shared" si="9"/>
        <v>0.4970004510185641</v>
      </c>
      <c r="AR56" s="6">
        <f t="shared" si="10"/>
        <v>0.24217877254059458</v>
      </c>
      <c r="AS56" s="6">
        <f t="shared" si="11"/>
        <v>0.24604652451875172</v>
      </c>
      <c r="AT56" s="6">
        <f t="shared" si="12"/>
        <v>0.4970004510185641</v>
      </c>
      <c r="AU56" s="6">
        <f t="shared" si="13"/>
        <v>0.4970004510185641</v>
      </c>
      <c r="AV56" s="6">
        <f t="shared" si="14"/>
        <v>0.4970004510185641</v>
      </c>
      <c r="AW56" s="6">
        <f t="shared" si="15"/>
        <v>0.49310050899333419</v>
      </c>
      <c r="AX56" s="6">
        <f t="shared" si="16"/>
        <v>0.12132969369544465</v>
      </c>
      <c r="AY56" s="6">
        <f t="shared" si="17"/>
        <v>0.4970004510185641</v>
      </c>
      <c r="AZ56" s="6">
        <f t="shared" si="18"/>
        <v>0.4970004510185641</v>
      </c>
      <c r="BA56" s="6">
        <f t="shared" si="19"/>
        <v>0.49310050899333419</v>
      </c>
      <c r="BB56" s="6">
        <f t="shared" si="20"/>
        <v>0.46630379664738519</v>
      </c>
      <c r="BC56" s="6">
        <f t="shared" si="21"/>
        <v>0.24217877254059458</v>
      </c>
    </row>
    <row r="57" spans="2:55" x14ac:dyDescent="0.25">
      <c r="AI57" s="60"/>
      <c r="AJ57">
        <f t="shared" si="23"/>
        <v>256</v>
      </c>
      <c r="AK57" s="6">
        <f t="shared" si="3"/>
        <v>0.48620411158554483</v>
      </c>
      <c r="AL57" s="6">
        <f t="shared" si="4"/>
        <v>0.23926881796394273</v>
      </c>
      <c r="AM57" s="6">
        <f t="shared" si="5"/>
        <v>0.49012641958249575</v>
      </c>
      <c r="AN57" s="6">
        <f t="shared" si="6"/>
        <v>0.23926881796394273</v>
      </c>
      <c r="AO57" s="6">
        <f t="shared" si="7"/>
        <v>0.48620411158554483</v>
      </c>
      <c r="AP57" s="6">
        <f t="shared" si="8"/>
        <v>0.49012641958249575</v>
      </c>
      <c r="AQ57" s="6">
        <f t="shared" si="9"/>
        <v>0.49012641958249575</v>
      </c>
      <c r="AR57" s="6">
        <f t="shared" si="10"/>
        <v>0.23543328804056732</v>
      </c>
      <c r="AS57" s="6">
        <f t="shared" si="11"/>
        <v>0.23926881796394273</v>
      </c>
      <c r="AT57" s="6">
        <f t="shared" si="12"/>
        <v>0.49012641958249575</v>
      </c>
      <c r="AU57" s="6">
        <f t="shared" si="13"/>
        <v>0.49012641958249575</v>
      </c>
      <c r="AV57" s="6">
        <f t="shared" si="14"/>
        <v>0.49012641958249575</v>
      </c>
      <c r="AW57" s="6">
        <f t="shared" si="15"/>
        <v>0.48620411158554483</v>
      </c>
      <c r="AX57" s="6">
        <f t="shared" si="16"/>
        <v>0.11633742150346545</v>
      </c>
      <c r="AY57" s="6">
        <f t="shared" si="17"/>
        <v>0.49012641958249575</v>
      </c>
      <c r="AZ57" s="6">
        <f t="shared" si="18"/>
        <v>0.49012641958249575</v>
      </c>
      <c r="BA57" s="6">
        <f t="shared" si="19"/>
        <v>0.48620411158554483</v>
      </c>
      <c r="BB57" s="6">
        <f t="shared" si="20"/>
        <v>0.45927069122496261</v>
      </c>
      <c r="BC57" s="6">
        <f t="shared" si="21"/>
        <v>0.23543328804056732</v>
      </c>
    </row>
    <row r="58" spans="2:55" x14ac:dyDescent="0.25">
      <c r="AI58" s="60"/>
      <c r="AJ58">
        <f t="shared" si="23"/>
        <v>261</v>
      </c>
      <c r="AK58" s="6">
        <f t="shared" si="3"/>
        <v>0.47940416570505817</v>
      </c>
      <c r="AL58" s="6">
        <f t="shared" si="4"/>
        <v>0.23267781311619076</v>
      </c>
      <c r="AM58" s="6">
        <f t="shared" si="5"/>
        <v>0.48334746312691729</v>
      </c>
      <c r="AN58" s="6">
        <f t="shared" si="6"/>
        <v>0.23267781311619076</v>
      </c>
      <c r="AO58" s="6">
        <f t="shared" si="7"/>
        <v>0.47940416570505817</v>
      </c>
      <c r="AP58" s="6">
        <f t="shared" si="8"/>
        <v>0.48334746312691729</v>
      </c>
      <c r="AQ58" s="6">
        <f t="shared" si="9"/>
        <v>0.48334746312691729</v>
      </c>
      <c r="AR58" s="6">
        <f t="shared" si="10"/>
        <v>0.22887568772486705</v>
      </c>
      <c r="AS58" s="6">
        <f t="shared" si="11"/>
        <v>0.23267781311619076</v>
      </c>
      <c r="AT58" s="6">
        <f t="shared" si="12"/>
        <v>0.48334746312691729</v>
      </c>
      <c r="AU58" s="6">
        <f t="shared" si="13"/>
        <v>0.48334746312691729</v>
      </c>
      <c r="AV58" s="6">
        <f t="shared" si="14"/>
        <v>0.48334746312691729</v>
      </c>
      <c r="AW58" s="6">
        <f t="shared" si="15"/>
        <v>0.47940416570505817</v>
      </c>
      <c r="AX58" s="6">
        <f t="shared" si="16"/>
        <v>0.11155056301426348</v>
      </c>
      <c r="AY58" s="6">
        <f t="shared" si="17"/>
        <v>0.48334746312691729</v>
      </c>
      <c r="AZ58" s="6">
        <f t="shared" si="18"/>
        <v>0.48334746312691729</v>
      </c>
      <c r="BA58" s="6">
        <f t="shared" si="19"/>
        <v>0.47940416570505817</v>
      </c>
      <c r="BB58" s="6">
        <f t="shared" si="20"/>
        <v>0.45234366379769797</v>
      </c>
      <c r="BC58" s="6">
        <f t="shared" si="21"/>
        <v>0.22887568772486705</v>
      </c>
    </row>
    <row r="59" spans="2:55" x14ac:dyDescent="0.25">
      <c r="AI59" s="60"/>
      <c r="AJ59">
        <f t="shared" si="23"/>
        <v>266</v>
      </c>
      <c r="AK59" s="6">
        <f t="shared" si="3"/>
        <v>0.47269932240160806</v>
      </c>
      <c r="AL59" s="6">
        <f t="shared" si="4"/>
        <v>0.22626836700757058</v>
      </c>
      <c r="AM59" s="6">
        <f t="shared" si="5"/>
        <v>0.47666226666629236</v>
      </c>
      <c r="AN59" s="6">
        <f t="shared" si="6"/>
        <v>0.22626836700757058</v>
      </c>
      <c r="AO59" s="6">
        <f t="shared" si="7"/>
        <v>0.47269932240160806</v>
      </c>
      <c r="AP59" s="6">
        <f t="shared" si="8"/>
        <v>0.47666226666629236</v>
      </c>
      <c r="AQ59" s="6">
        <f t="shared" si="9"/>
        <v>0.47666226666629236</v>
      </c>
      <c r="AR59" s="6">
        <f t="shared" si="10"/>
        <v>0.2225007383939038</v>
      </c>
      <c r="AS59" s="6">
        <f t="shared" si="11"/>
        <v>0.22626836700757058</v>
      </c>
      <c r="AT59" s="6">
        <f t="shared" si="12"/>
        <v>0.47666226666629236</v>
      </c>
      <c r="AU59" s="6">
        <f t="shared" si="13"/>
        <v>0.47666226666629236</v>
      </c>
      <c r="AV59" s="6">
        <f t="shared" si="14"/>
        <v>0.47666226666629236</v>
      </c>
      <c r="AW59" s="6">
        <f t="shared" si="15"/>
        <v>0.47269932240160806</v>
      </c>
      <c r="AX59" s="6">
        <f t="shared" si="16"/>
        <v>0.10696066620686187</v>
      </c>
      <c r="AY59" s="6">
        <f t="shared" si="17"/>
        <v>0.47666226666629236</v>
      </c>
      <c r="AZ59" s="6">
        <f t="shared" si="18"/>
        <v>0.47666226666629236</v>
      </c>
      <c r="BA59" s="6">
        <f t="shared" si="19"/>
        <v>0.47269932240160806</v>
      </c>
      <c r="BB59" s="6">
        <f t="shared" si="20"/>
        <v>0.44552111442639225</v>
      </c>
      <c r="BC59" s="6">
        <f t="shared" si="21"/>
        <v>0.2225007383939038</v>
      </c>
    </row>
    <row r="60" spans="2:55" x14ac:dyDescent="0.25">
      <c r="AI60" s="60"/>
      <c r="AJ60">
        <f t="shared" si="23"/>
        <v>271</v>
      </c>
      <c r="AK60" s="6">
        <f t="shared" si="3"/>
        <v>0.46608825159105588</v>
      </c>
      <c r="AL60" s="6">
        <f t="shared" si="4"/>
        <v>0.22003547834062961</v>
      </c>
      <c r="AM60" s="6">
        <f t="shared" si="5"/>
        <v>0.47006953340269758</v>
      </c>
      <c r="AN60" s="6">
        <f t="shared" si="6"/>
        <v>0.22003547834062961</v>
      </c>
      <c r="AO60" s="6">
        <f t="shared" si="7"/>
        <v>0.46608825159105588</v>
      </c>
      <c r="AP60" s="6">
        <f t="shared" si="8"/>
        <v>0.47006953340269758</v>
      </c>
      <c r="AQ60" s="6">
        <f t="shared" si="9"/>
        <v>0.47006953340269758</v>
      </c>
      <c r="AR60" s="6">
        <f t="shared" si="10"/>
        <v>0.21630335261010591</v>
      </c>
      <c r="AS60" s="6">
        <f t="shared" si="11"/>
        <v>0.22003547834062961</v>
      </c>
      <c r="AT60" s="6">
        <f t="shared" si="12"/>
        <v>0.47006953340269758</v>
      </c>
      <c r="AU60" s="6">
        <f t="shared" si="13"/>
        <v>0.47006953340269758</v>
      </c>
      <c r="AV60" s="6">
        <f t="shared" si="14"/>
        <v>0.47006953340269758</v>
      </c>
      <c r="AW60" s="6">
        <f t="shared" si="15"/>
        <v>0.46608825159105588</v>
      </c>
      <c r="AX60" s="6">
        <f t="shared" si="16"/>
        <v>0.10255962682996832</v>
      </c>
      <c r="AY60" s="6">
        <f t="shared" si="17"/>
        <v>0.47006953340269758</v>
      </c>
      <c r="AZ60" s="6">
        <f t="shared" si="18"/>
        <v>0.47006953340269758</v>
      </c>
      <c r="BA60" s="6">
        <f t="shared" si="19"/>
        <v>0.46608825159105588</v>
      </c>
      <c r="BB60" s="6">
        <f t="shared" si="20"/>
        <v>0.43880146730319824</v>
      </c>
      <c r="BC60" s="6">
        <f t="shared" si="21"/>
        <v>0.21630335261010591</v>
      </c>
    </row>
    <row r="61" spans="2:55" x14ac:dyDescent="0.25">
      <c r="T61" s="60"/>
      <c r="U61" s="60"/>
      <c r="V61" s="60"/>
      <c r="W61" s="60"/>
      <c r="X61" s="60"/>
      <c r="Y61" s="60"/>
      <c r="Z61" s="60"/>
      <c r="AA61" s="60"/>
      <c r="AB61" s="60"/>
      <c r="AC61" s="60"/>
      <c r="AD61" s="60"/>
      <c r="AE61" s="60"/>
      <c r="AF61" s="60"/>
      <c r="AG61" s="60"/>
      <c r="AH61" s="60"/>
      <c r="AI61" s="60"/>
      <c r="AJ61">
        <f t="shared" si="23"/>
        <v>276</v>
      </c>
      <c r="AK61" s="6">
        <f t="shared" si="3"/>
        <v>0.45956964179153303</v>
      </c>
      <c r="AL61" s="6">
        <f t="shared" si="4"/>
        <v>0.21397428358587031</v>
      </c>
      <c r="AM61" s="6">
        <f t="shared" si="5"/>
        <v>0.46356798447426928</v>
      </c>
      <c r="AN61" s="6">
        <f t="shared" si="6"/>
        <v>0.21397428358587031</v>
      </c>
      <c r="AO61" s="6">
        <f t="shared" si="7"/>
        <v>0.45956964179153303</v>
      </c>
      <c r="AP61" s="6">
        <f t="shared" si="8"/>
        <v>0.46356798447426928</v>
      </c>
      <c r="AQ61" s="6">
        <f t="shared" si="9"/>
        <v>0.46356798447426928</v>
      </c>
      <c r="AR61" s="6">
        <f t="shared" si="10"/>
        <v>0.2102785846379632</v>
      </c>
      <c r="AS61" s="6">
        <f t="shared" si="11"/>
        <v>0.21397428358587031</v>
      </c>
      <c r="AT61" s="6">
        <f t="shared" si="12"/>
        <v>0.46356798447426928</v>
      </c>
      <c r="AU61" s="6">
        <f t="shared" si="13"/>
        <v>0.46356798447426928</v>
      </c>
      <c r="AV61" s="6">
        <f t="shared" si="14"/>
        <v>0.46356798447426928</v>
      </c>
      <c r="AW61" s="6">
        <f t="shared" si="15"/>
        <v>0.45956964179153303</v>
      </c>
      <c r="AX61" s="6">
        <f t="shared" si="16"/>
        <v>9.8339674092526932E-2</v>
      </c>
      <c r="AY61" s="6">
        <f t="shared" si="17"/>
        <v>0.46356798447426928</v>
      </c>
      <c r="AZ61" s="6">
        <f t="shared" si="18"/>
        <v>0.46356798447426928</v>
      </c>
      <c r="BA61" s="6">
        <f t="shared" si="19"/>
        <v>0.45956964179153303</v>
      </c>
      <c r="BB61" s="6">
        <f t="shared" si="20"/>
        <v>0.43218317038765586</v>
      </c>
      <c r="BC61" s="6">
        <f t="shared" si="21"/>
        <v>0.2102785846379632</v>
      </c>
    </row>
    <row r="62" spans="2:55" x14ac:dyDescent="0.25">
      <c r="T62" s="60"/>
      <c r="U62" s="60"/>
      <c r="V62" s="60"/>
      <c r="W62" s="60"/>
      <c r="X62" s="60"/>
      <c r="Y62" s="60"/>
      <c r="Z62" s="60"/>
      <c r="AA62" s="60"/>
      <c r="AB62" s="60"/>
      <c r="AC62" s="60"/>
      <c r="AD62" s="60"/>
      <c r="AE62" s="60"/>
      <c r="AF62" s="60"/>
      <c r="AG62" s="60"/>
      <c r="AH62" s="60"/>
      <c r="AI62" s="60"/>
      <c r="AJ62">
        <f t="shared" si="23"/>
        <v>281</v>
      </c>
      <c r="AK62" s="6">
        <f t="shared" si="3"/>
        <v>0.45314219986327359</v>
      </c>
      <c r="AL62" s="6">
        <f t="shared" si="4"/>
        <v>0.20808005318673303</v>
      </c>
      <c r="AM62" s="6">
        <f t="shared" si="5"/>
        <v>0.45715635870712901</v>
      </c>
      <c r="AN62" s="6">
        <f t="shared" si="6"/>
        <v>0.20808005318673303</v>
      </c>
      <c r="AO62" s="6">
        <f t="shared" si="7"/>
        <v>0.45314219986327359</v>
      </c>
      <c r="AP62" s="6">
        <f t="shared" si="8"/>
        <v>0.45715635870712901</v>
      </c>
      <c r="AQ62" s="6">
        <f t="shared" si="9"/>
        <v>0.45715635870712901</v>
      </c>
      <c r="AR62" s="6">
        <f t="shared" si="10"/>
        <v>0.20442162649715306</v>
      </c>
      <c r="AS62" s="6">
        <f t="shared" si="11"/>
        <v>0.20808005318673303</v>
      </c>
      <c r="AT62" s="6">
        <f t="shared" si="12"/>
        <v>0.45715635870712901</v>
      </c>
      <c r="AU62" s="6">
        <f t="shared" si="13"/>
        <v>0.45715635870712901</v>
      </c>
      <c r="AV62" s="6">
        <f t="shared" si="14"/>
        <v>0.45715635870712901</v>
      </c>
      <c r="AW62" s="6">
        <f t="shared" si="15"/>
        <v>0.45314219986327359</v>
      </c>
      <c r="AX62" s="6">
        <f t="shared" si="16"/>
        <v>9.4293356943051951E-2</v>
      </c>
      <c r="AY62" s="6">
        <f t="shared" si="17"/>
        <v>0.45715635870712901</v>
      </c>
      <c r="AZ62" s="6">
        <f t="shared" si="18"/>
        <v>0.45715635870712901</v>
      </c>
      <c r="BA62" s="6">
        <f t="shared" si="19"/>
        <v>0.45314219986327359</v>
      </c>
      <c r="BB62" s="6">
        <f t="shared" si="20"/>
        <v>0.42566469504821586</v>
      </c>
      <c r="BC62" s="6">
        <f t="shared" si="21"/>
        <v>0.20442162649715306</v>
      </c>
    </row>
    <row r="63" spans="2:55" x14ac:dyDescent="0.25">
      <c r="AI63" s="60"/>
      <c r="AJ63">
        <f t="shared" si="23"/>
        <v>286</v>
      </c>
      <c r="AK63" s="6">
        <f t="shared" si="3"/>
        <v>0.44680465075208559</v>
      </c>
      <c r="AL63" s="6">
        <f t="shared" si="4"/>
        <v>0.2023481878691181</v>
      </c>
      <c r="AM63" s="6">
        <f t="shared" si="5"/>
        <v>0.45083341237074037</v>
      </c>
      <c r="AN63" s="6">
        <f t="shared" si="6"/>
        <v>0.2023481878691181</v>
      </c>
      <c r="AO63" s="6">
        <f t="shared" si="7"/>
        <v>0.44680465075208559</v>
      </c>
      <c r="AP63" s="6">
        <f t="shared" si="8"/>
        <v>0.45083341237074037</v>
      </c>
      <c r="AQ63" s="6">
        <f t="shared" si="9"/>
        <v>0.45083341237074037</v>
      </c>
      <c r="AR63" s="6">
        <f t="shared" si="10"/>
        <v>0.19872780412559993</v>
      </c>
      <c r="AS63" s="6">
        <f t="shared" si="11"/>
        <v>0.2023481878691181</v>
      </c>
      <c r="AT63" s="6">
        <f t="shared" si="12"/>
        <v>0.45083341237074037</v>
      </c>
      <c r="AU63" s="6">
        <f t="shared" si="13"/>
        <v>0.45083341237074037</v>
      </c>
      <c r="AV63" s="6">
        <f t="shared" si="14"/>
        <v>0.45083341237074037</v>
      </c>
      <c r="AW63" s="6">
        <f t="shared" si="15"/>
        <v>0.44680465075208559</v>
      </c>
      <c r="AX63" s="6">
        <f t="shared" si="16"/>
        <v>9.0413530913516352E-2</v>
      </c>
      <c r="AY63" s="6">
        <f t="shared" si="17"/>
        <v>0.45083341237074037</v>
      </c>
      <c r="AZ63" s="6">
        <f t="shared" si="18"/>
        <v>0.45083341237074037</v>
      </c>
      <c r="BA63" s="6">
        <f t="shared" si="19"/>
        <v>0.44680465075208559</v>
      </c>
      <c r="BB63" s="6">
        <f t="shared" si="20"/>
        <v>0.4192445357091717</v>
      </c>
      <c r="BC63" s="6">
        <f t="shared" si="21"/>
        <v>0.19872780412559993</v>
      </c>
    </row>
    <row r="64" spans="2:55" x14ac:dyDescent="0.25">
      <c r="AI64" s="60"/>
      <c r="AJ64">
        <f t="shared" si="23"/>
        <v>291</v>
      </c>
      <c r="AK64" s="6">
        <f t="shared" si="3"/>
        <v>0.44055573723641012</v>
      </c>
      <c r="AL64" s="6">
        <f t="shared" si="4"/>
        <v>0.19677421505256759</v>
      </c>
      <c r="AM64" s="6">
        <f t="shared" si="5"/>
        <v>0.44459791893664952</v>
      </c>
      <c r="AN64" s="6">
        <f t="shared" si="6"/>
        <v>0.19677421505256759</v>
      </c>
      <c r="AO64" s="6">
        <f t="shared" si="7"/>
        <v>0.44055573723641012</v>
      </c>
      <c r="AP64" s="6">
        <f t="shared" si="8"/>
        <v>0.44459791893664952</v>
      </c>
      <c r="AQ64" s="6">
        <f t="shared" si="9"/>
        <v>0.44459791893664952</v>
      </c>
      <c r="AR64" s="6">
        <f t="shared" si="10"/>
        <v>0.19319257364940701</v>
      </c>
      <c r="AS64" s="6">
        <f t="shared" si="11"/>
        <v>0.19677421505256759</v>
      </c>
      <c r="AT64" s="6">
        <f t="shared" si="12"/>
        <v>0.44459791893664952</v>
      </c>
      <c r="AU64" s="6">
        <f t="shared" si="13"/>
        <v>0.44459791893664952</v>
      </c>
      <c r="AV64" s="6">
        <f t="shared" si="14"/>
        <v>0.44459791893664952</v>
      </c>
      <c r="AW64" s="6">
        <f t="shared" si="15"/>
        <v>0.44055573723641012</v>
      </c>
      <c r="AX64" s="6">
        <f t="shared" si="16"/>
        <v>8.6693345504566074E-2</v>
      </c>
      <c r="AY64" s="6">
        <f t="shared" si="17"/>
        <v>0.44459791893664952</v>
      </c>
      <c r="AZ64" s="6">
        <f t="shared" si="18"/>
        <v>0.44459791893664952</v>
      </c>
      <c r="BA64" s="6">
        <f t="shared" si="19"/>
        <v>0.44055573723641012</v>
      </c>
      <c r="BB64" s="6">
        <f t="shared" si="20"/>
        <v>0.41292120950291533</v>
      </c>
      <c r="BC64" s="6">
        <f t="shared" si="21"/>
        <v>0.19319257364940701</v>
      </c>
    </row>
    <row r="65" spans="20:55" x14ac:dyDescent="0.25">
      <c r="AI65" s="60"/>
      <c r="AJ65">
        <f t="shared" si="23"/>
        <v>296</v>
      </c>
      <c r="AK65" s="6">
        <f t="shared" si="3"/>
        <v>0.4343942196779178</v>
      </c>
      <c r="AL65" s="6">
        <f t="shared" si="4"/>
        <v>0.19135378536030612</v>
      </c>
      <c r="AM65" s="6">
        <f t="shared" si="5"/>
        <v>0.43844866884056272</v>
      </c>
      <c r="AN65" s="6">
        <f t="shared" si="6"/>
        <v>0.19135378536030612</v>
      </c>
      <c r="AO65" s="6">
        <f t="shared" si="7"/>
        <v>0.4343942196779178</v>
      </c>
      <c r="AP65" s="6">
        <f t="shared" si="8"/>
        <v>0.43844866884056272</v>
      </c>
      <c r="AQ65" s="6">
        <f t="shared" si="9"/>
        <v>0.43844866884056272</v>
      </c>
      <c r="AR65" s="6">
        <f t="shared" si="10"/>
        <v>0.18781151775668212</v>
      </c>
      <c r="AS65" s="6">
        <f t="shared" si="11"/>
        <v>0.19135378536030612</v>
      </c>
      <c r="AT65" s="6">
        <f t="shared" si="12"/>
        <v>0.43844866884056272</v>
      </c>
      <c r="AU65" s="6">
        <f t="shared" si="13"/>
        <v>0.43844866884056272</v>
      </c>
      <c r="AV65" s="6">
        <f t="shared" si="14"/>
        <v>0.43844866884056272</v>
      </c>
      <c r="AW65" s="6">
        <f t="shared" si="15"/>
        <v>0.4343942196779178</v>
      </c>
      <c r="AX65" s="6">
        <f t="shared" si="16"/>
        <v>8.3126232089786686E-2</v>
      </c>
      <c r="AY65" s="6">
        <f t="shared" si="17"/>
        <v>0.43844866884056272</v>
      </c>
      <c r="AZ65" s="6">
        <f t="shared" si="18"/>
        <v>0.43844866884056272</v>
      </c>
      <c r="BA65" s="6">
        <f t="shared" si="19"/>
        <v>0.4343942196779178</v>
      </c>
      <c r="BB65" s="6">
        <f t="shared" si="20"/>
        <v>0.40669325592743905</v>
      </c>
      <c r="BC65" s="6">
        <f t="shared" si="21"/>
        <v>0.18781151775668212</v>
      </c>
    </row>
    <row r="66" spans="20:55" x14ac:dyDescent="0.25">
      <c r="AI66" s="60"/>
      <c r="AJ66">
        <f t="shared" si="23"/>
        <v>301</v>
      </c>
      <c r="AK66" s="6">
        <f t="shared" si="3"/>
        <v>0.4283188757755938</v>
      </c>
      <c r="AL66" s="6">
        <f t="shared" si="4"/>
        <v>0.1860826692254175</v>
      </c>
      <c r="AM66" s="6">
        <f t="shared" si="5"/>
        <v>0.43238446924771412</v>
      </c>
      <c r="AN66" s="6">
        <f t="shared" si="6"/>
        <v>0.1860826692254175</v>
      </c>
      <c r="AO66" s="6">
        <f t="shared" si="7"/>
        <v>0.4283188757755938</v>
      </c>
      <c r="AP66" s="6">
        <f t="shared" si="8"/>
        <v>0.43238446924771412</v>
      </c>
      <c r="AQ66" s="6">
        <f t="shared" si="9"/>
        <v>0.43238446924771412</v>
      </c>
      <c r="AR66" s="6">
        <f t="shared" si="10"/>
        <v>0.1825803421723648</v>
      </c>
      <c r="AS66" s="6">
        <f t="shared" si="11"/>
        <v>0.1860826692254175</v>
      </c>
      <c r="AT66" s="6">
        <f t="shared" si="12"/>
        <v>0.43238446924771412</v>
      </c>
      <c r="AU66" s="6">
        <f t="shared" si="13"/>
        <v>0.43238446924771412</v>
      </c>
      <c r="AV66" s="6">
        <f t="shared" si="14"/>
        <v>0.43238446924771412</v>
      </c>
      <c r="AW66" s="6">
        <f t="shared" si="15"/>
        <v>0.4283188757755938</v>
      </c>
      <c r="AX66" s="6">
        <f t="shared" si="16"/>
        <v>7.9705892317665172E-2</v>
      </c>
      <c r="AY66" s="6">
        <f t="shared" si="17"/>
        <v>0.43238446924771412</v>
      </c>
      <c r="AZ66" s="6">
        <f t="shared" si="18"/>
        <v>0.43238446924771412</v>
      </c>
      <c r="BA66" s="6">
        <f t="shared" si="19"/>
        <v>0.4283188757755938</v>
      </c>
      <c r="BB66" s="6">
        <f t="shared" si="20"/>
        <v>0.40055923650900205</v>
      </c>
      <c r="BC66" s="6">
        <f t="shared" si="21"/>
        <v>0.1825803421723648</v>
      </c>
    </row>
    <row r="67" spans="20:55" x14ac:dyDescent="0.25">
      <c r="AI67" s="60"/>
      <c r="AJ67">
        <f t="shared" si="23"/>
        <v>306</v>
      </c>
      <c r="AK67" s="6">
        <f t="shared" si="3"/>
        <v>0.42232850032326186</v>
      </c>
      <c r="AL67" s="6">
        <f t="shared" si="4"/>
        <v>0.18095675359050942</v>
      </c>
      <c r="AM67" s="6">
        <f t="shared" si="5"/>
        <v>0.42640414382147923</v>
      </c>
      <c r="AN67" s="6">
        <f t="shared" si="6"/>
        <v>0.18095675359050942</v>
      </c>
      <c r="AO67" s="6">
        <f t="shared" si="7"/>
        <v>0.42232850032326186</v>
      </c>
      <c r="AP67" s="6">
        <f t="shared" si="8"/>
        <v>0.42640414382147923</v>
      </c>
      <c r="AQ67" s="6">
        <f t="shared" si="9"/>
        <v>0.42640414382147923</v>
      </c>
      <c r="AR67" s="6">
        <f t="shared" si="10"/>
        <v>0.17749487223124136</v>
      </c>
      <c r="AS67" s="6">
        <f t="shared" si="11"/>
        <v>0.18095675359050942</v>
      </c>
      <c r="AT67" s="6">
        <f t="shared" si="12"/>
        <v>0.42640414382147923</v>
      </c>
      <c r="AU67" s="6">
        <f t="shared" si="13"/>
        <v>0.42640414382147923</v>
      </c>
      <c r="AV67" s="6">
        <f t="shared" si="14"/>
        <v>0.42640414382147923</v>
      </c>
      <c r="AW67" s="6">
        <f t="shared" si="15"/>
        <v>0.42232850032326186</v>
      </c>
      <c r="AX67" s="6">
        <f t="shared" si="16"/>
        <v>7.6426286990768116E-2</v>
      </c>
      <c r="AY67" s="6">
        <f t="shared" si="17"/>
        <v>0.42640414382147923</v>
      </c>
      <c r="AZ67" s="6">
        <f t="shared" si="18"/>
        <v>0.42640414382147923</v>
      </c>
      <c r="BA67" s="6">
        <f t="shared" si="19"/>
        <v>0.42232850032326186</v>
      </c>
      <c r="BB67" s="6">
        <f t="shared" si="20"/>
        <v>0.39451773446988558</v>
      </c>
      <c r="BC67" s="6">
        <f t="shared" si="21"/>
        <v>0.17749487223124136</v>
      </c>
    </row>
    <row r="68" spans="20:55" x14ac:dyDescent="0.25">
      <c r="AI68" s="60"/>
      <c r="AJ68">
        <f t="shared" si="23"/>
        <v>311</v>
      </c>
      <c r="AK68" s="6">
        <f t="shared" si="3"/>
        <v>0.41642190497049919</v>
      </c>
      <c r="AL68" s="6">
        <f t="shared" si="4"/>
        <v>0.1759720386982904</v>
      </c>
      <c r="AM68" s="6">
        <f t="shared" si="5"/>
        <v>0.42050653249518855</v>
      </c>
      <c r="AN68" s="6">
        <f t="shared" si="6"/>
        <v>0.1759720386982904</v>
      </c>
      <c r="AO68" s="6">
        <f t="shared" si="7"/>
        <v>0.41642190497049919</v>
      </c>
      <c r="AP68" s="6">
        <f t="shared" si="8"/>
        <v>0.42050653249518855</v>
      </c>
      <c r="AQ68" s="6">
        <f t="shared" si="9"/>
        <v>0.42050653249518855</v>
      </c>
      <c r="AR68" s="6">
        <f t="shared" si="10"/>
        <v>0.1725510495464127</v>
      </c>
      <c r="AS68" s="6">
        <f t="shared" si="11"/>
        <v>0.1759720386982904</v>
      </c>
      <c r="AT68" s="6">
        <f t="shared" si="12"/>
        <v>0.42050653249518855</v>
      </c>
      <c r="AU68" s="6">
        <f t="shared" si="13"/>
        <v>0.42050653249518855</v>
      </c>
      <c r="AV68" s="6">
        <f t="shared" si="14"/>
        <v>0.42050653249518855</v>
      </c>
      <c r="AW68" s="6">
        <f t="shared" si="15"/>
        <v>0.41642190497049919</v>
      </c>
      <c r="AX68" s="6">
        <f t="shared" si="16"/>
        <v>7.3281625402501355E-2</v>
      </c>
      <c r="AY68" s="6">
        <f t="shared" si="17"/>
        <v>0.42050653249518855</v>
      </c>
      <c r="AZ68" s="6">
        <f t="shared" si="18"/>
        <v>0.42050653249518855</v>
      </c>
      <c r="BA68" s="6">
        <f t="shared" si="19"/>
        <v>0.41642190497049919</v>
      </c>
      <c r="BB68" s="6">
        <f t="shared" si="20"/>
        <v>0.38856735440115919</v>
      </c>
      <c r="BC68" s="6">
        <f t="shared" si="21"/>
        <v>0.1725510495464127</v>
      </c>
    </row>
    <row r="69" spans="20:55" x14ac:dyDescent="0.25">
      <c r="AI69" s="60"/>
      <c r="AJ69">
        <f t="shared" si="23"/>
        <v>316</v>
      </c>
      <c r="AK69" s="6">
        <f t="shared" si="3"/>
        <v>0.41059791798689604</v>
      </c>
      <c r="AL69" s="6">
        <f t="shared" si="4"/>
        <v>0.17112463497055513</v>
      </c>
      <c r="AM69" s="6">
        <f t="shared" si="5"/>
        <v>0.41469049124709711</v>
      </c>
      <c r="AN69" s="6">
        <f t="shared" si="6"/>
        <v>0.17112463497055513</v>
      </c>
      <c r="AO69" s="6">
        <f t="shared" si="7"/>
        <v>0.41059791798689604</v>
      </c>
      <c r="AP69" s="6">
        <f t="shared" si="8"/>
        <v>0.41469049124709711</v>
      </c>
      <c r="AQ69" s="6">
        <f t="shared" si="9"/>
        <v>0.41469049124709711</v>
      </c>
      <c r="AR69" s="6">
        <f t="shared" si="10"/>
        <v>0.16774492877055625</v>
      </c>
      <c r="AS69" s="6">
        <f t="shared" si="11"/>
        <v>0.17112463497055513</v>
      </c>
      <c r="AT69" s="6">
        <f t="shared" si="12"/>
        <v>0.41469049124709711</v>
      </c>
      <c r="AU69" s="6">
        <f t="shared" si="13"/>
        <v>0.41469049124709711</v>
      </c>
      <c r="AV69" s="6">
        <f t="shared" si="14"/>
        <v>0.41469049124709711</v>
      </c>
      <c r="AW69" s="6">
        <f t="shared" si="15"/>
        <v>0.41059791798689604</v>
      </c>
      <c r="AX69" s="6">
        <f t="shared" si="16"/>
        <v>7.0266355112622761E-2</v>
      </c>
      <c r="AY69" s="6">
        <f t="shared" si="17"/>
        <v>0.41469049124709711</v>
      </c>
      <c r="AZ69" s="6">
        <f t="shared" si="18"/>
        <v>0.41469049124709711</v>
      </c>
      <c r="BA69" s="6">
        <f t="shared" si="19"/>
        <v>0.41059791798689604</v>
      </c>
      <c r="BB69" s="6">
        <f t="shared" si="20"/>
        <v>0.38270672194038224</v>
      </c>
      <c r="BC69" s="6">
        <f t="shared" si="21"/>
        <v>0.16774492877055625</v>
      </c>
    </row>
    <row r="70" spans="20:55" x14ac:dyDescent="0.25">
      <c r="T70" s="60"/>
      <c r="U70" s="60"/>
      <c r="V70" s="60"/>
      <c r="W70" s="60"/>
      <c r="X70" s="60"/>
      <c r="Y70" s="60"/>
      <c r="Z70" s="60"/>
      <c r="AA70" s="60"/>
      <c r="AB70" s="60"/>
      <c r="AC70" s="60"/>
      <c r="AD70" s="60"/>
      <c r="AE70" s="60"/>
      <c r="AF70" s="60"/>
      <c r="AG70" s="60"/>
      <c r="AH70" s="60"/>
      <c r="AI70" s="60"/>
      <c r="AJ70">
        <f t="shared" si="23"/>
        <v>321</v>
      </c>
      <c r="AK70" s="6">
        <f t="shared" si="3"/>
        <v>0.40485538402961146</v>
      </c>
      <c r="AL70" s="6">
        <f t="shared" si="4"/>
        <v>0.16641075997314245</v>
      </c>
      <c r="AM70" s="6">
        <f t="shared" si="5"/>
        <v>0.40895489187846656</v>
      </c>
      <c r="AN70" s="6">
        <f t="shared" si="6"/>
        <v>0.16641075997314245</v>
      </c>
      <c r="AO70" s="6">
        <f t="shared" si="7"/>
        <v>0.40485538402961146</v>
      </c>
      <c r="AP70" s="6">
        <f t="shared" si="8"/>
        <v>0.40895489187846656</v>
      </c>
      <c r="AQ70" s="6">
        <f t="shared" si="9"/>
        <v>0.40895489187846656</v>
      </c>
      <c r="AR70" s="6">
        <f t="shared" si="10"/>
        <v>0.16307267444739793</v>
      </c>
      <c r="AS70" s="6">
        <f t="shared" si="11"/>
        <v>0.16641075997314245</v>
      </c>
      <c r="AT70" s="6">
        <f t="shared" si="12"/>
        <v>0.40895489187846656</v>
      </c>
      <c r="AU70" s="6">
        <f t="shared" si="13"/>
        <v>0.40895489187846656</v>
      </c>
      <c r="AV70" s="6">
        <f t="shared" si="14"/>
        <v>0.40895489187846656</v>
      </c>
      <c r="AW70" s="6">
        <f t="shared" si="15"/>
        <v>0.40485538402961146</v>
      </c>
      <c r="AX70" s="6">
        <f t="shared" si="16"/>
        <v>6.7375152143455019E-2</v>
      </c>
      <c r="AY70" s="6">
        <f t="shared" si="17"/>
        <v>0.40895489187846656</v>
      </c>
      <c r="AZ70" s="6">
        <f t="shared" si="18"/>
        <v>0.40895489187846656</v>
      </c>
      <c r="BA70" s="6">
        <f t="shared" si="19"/>
        <v>0.40485538402961146</v>
      </c>
      <c r="BB70" s="6">
        <f t="shared" si="20"/>
        <v>0.37693448345416664</v>
      </c>
      <c r="BC70" s="6">
        <f t="shared" si="21"/>
        <v>0.16307267444739793</v>
      </c>
    </row>
    <row r="71" spans="20:55" x14ac:dyDescent="0.25">
      <c r="AJ71">
        <f t="shared" si="23"/>
        <v>326</v>
      </c>
      <c r="AK71" s="6">
        <f t="shared" ref="AK71:AK79" si="24">EXP(-$AE$6*(AJ71))</f>
        <v>0.3991931639141803</v>
      </c>
      <c r="AL71" s="6">
        <f t="shared" ref="AL71:AL79" si="25">EXP(-$AE$9*(AJ71))</f>
        <v>0.16182673546449816</v>
      </c>
      <c r="AM71" s="6">
        <f t="shared" ref="AM71:AM79" si="26">EXP(-$AE$11*(AJ71))</f>
        <v>0.40329862179471665</v>
      </c>
      <c r="AN71" s="6">
        <f t="shared" ref="AN71:AN79" si="27">EXP(-$AE$14*(AJ71))</f>
        <v>0.16182673546449816</v>
      </c>
      <c r="AO71" s="6">
        <f t="shared" ref="AO71:AO79" si="28">EXP(-$AE$16*(AJ71))</f>
        <v>0.3991931639141803</v>
      </c>
      <c r="AP71" s="6">
        <f t="shared" ref="AP71:AP79" si="29">EXP(-$AE$18*(AJ71))</f>
        <v>0.40329862179471665</v>
      </c>
      <c r="AQ71" s="6">
        <f t="shared" ref="AQ71:AQ79" si="30">EXP(-$AE$20*(AJ71))</f>
        <v>0.40329862179471665</v>
      </c>
      <c r="AR71" s="6">
        <f t="shared" ref="AR71:AR79" si="31">EXP(-$AE$23*(AJ71))</f>
        <v>0.15853055795088075</v>
      </c>
      <c r="AS71" s="6">
        <f t="shared" ref="AS71:AS79" si="32">EXP(-$AE$26*(AJ71))</f>
        <v>0.16182673546449816</v>
      </c>
      <c r="AT71" s="6">
        <f t="shared" ref="AT71:AT79" si="33">EXP(-$AE$28*(AJ71))</f>
        <v>0.40329862179471665</v>
      </c>
      <c r="AU71" s="6">
        <f t="shared" ref="AU71:AU79" si="34">EXP(-$AE$30*(AJ71))</f>
        <v>0.40329862179471665</v>
      </c>
      <c r="AV71" s="6">
        <f t="shared" ref="AV71:AV79" si="35">EXP(-$AE$32*(AJ71))</f>
        <v>0.40329862179471665</v>
      </c>
      <c r="AW71" s="6">
        <f t="shared" ref="AW71:AW79" si="36">EXP(-$AE$34*(AJ71))</f>
        <v>0.3991931639141803</v>
      </c>
      <c r="AX71" s="6">
        <f t="shared" ref="AX71:AX79" si="37">EXP(-$AE$38*(AJ71))</f>
        <v>6.4602911579488526E-2</v>
      </c>
      <c r="AY71" s="6">
        <f t="shared" ref="AY71:AY79" si="38">EXP(-$AE$40*(AJ71))</f>
        <v>0.40329862179471665</v>
      </c>
      <c r="AZ71" s="6">
        <f t="shared" ref="AZ71:AZ79" si="39">EXP(-$AE$42*(AJ71))</f>
        <v>0.40329862179471665</v>
      </c>
      <c r="BA71" s="6">
        <f t="shared" ref="BA71:BA79" si="40">EXP(-$AE$44*(AJ71))</f>
        <v>0.3991931639141803</v>
      </c>
      <c r="BB71" s="6">
        <f t="shared" ref="BB71:BB79" si="41">EXP(-$AE$46*(AJ71))</f>
        <v>0.37124930572552756</v>
      </c>
      <c r="BC71" s="6">
        <f t="shared" ref="BC71:BC79" si="42">EXP(-$AE$49*(AJ71))</f>
        <v>0.15853055795088075</v>
      </c>
    </row>
    <row r="72" spans="20:55" x14ac:dyDescent="0.25">
      <c r="AJ72">
        <f t="shared" ref="AJ72:AJ79" si="43">AJ71+5</f>
        <v>331</v>
      </c>
      <c r="AK72" s="6">
        <f t="shared" si="24"/>
        <v>0.39361013438852588</v>
      </c>
      <c r="AL72" s="6">
        <f t="shared" si="25"/>
        <v>0.15736898452553913</v>
      </c>
      <c r="AM72" s="6">
        <f t="shared" si="26"/>
        <v>0.39772058378960357</v>
      </c>
      <c r="AN72" s="6">
        <f t="shared" si="27"/>
        <v>0.15736898452553913</v>
      </c>
      <c r="AO72" s="6">
        <f t="shared" si="28"/>
        <v>0.39361013438852588</v>
      </c>
      <c r="AP72" s="6">
        <f t="shared" si="29"/>
        <v>0.39772058378960357</v>
      </c>
      <c r="AQ72" s="6">
        <f t="shared" si="30"/>
        <v>0.39772058378960357</v>
      </c>
      <c r="AR72" s="6">
        <f t="shared" si="31"/>
        <v>0.15411495450958784</v>
      </c>
      <c r="AS72" s="6">
        <f t="shared" si="32"/>
        <v>0.15736898452553913</v>
      </c>
      <c r="AT72" s="6">
        <f t="shared" si="33"/>
        <v>0.39772058378960357</v>
      </c>
      <c r="AU72" s="6">
        <f t="shared" si="34"/>
        <v>0.39772058378960357</v>
      </c>
      <c r="AV72" s="6">
        <f t="shared" si="35"/>
        <v>0.39772058378960357</v>
      </c>
      <c r="AW72" s="6">
        <f t="shared" si="36"/>
        <v>0.39361013438852588</v>
      </c>
      <c r="AX72" s="6">
        <f t="shared" si="37"/>
        <v>6.1944738553776177E-2</v>
      </c>
      <c r="AY72" s="6">
        <f t="shared" si="38"/>
        <v>0.39772058378960357</v>
      </c>
      <c r="AZ72" s="6">
        <f t="shared" si="39"/>
        <v>0.39772058378960357</v>
      </c>
      <c r="BA72" s="6">
        <f t="shared" si="40"/>
        <v>0.39361013438852588</v>
      </c>
      <c r="BB72" s="6">
        <f t="shared" si="41"/>
        <v>0.36564987564594947</v>
      </c>
      <c r="BC72" s="6">
        <f t="shared" si="42"/>
        <v>0.15411495450958784</v>
      </c>
    </row>
    <row r="73" spans="20:55" x14ac:dyDescent="0.25">
      <c r="AJ73">
        <f t="shared" si="43"/>
        <v>336</v>
      </c>
      <c r="AK73" s="6">
        <f t="shared" si="24"/>
        <v>0.38810518791013288</v>
      </c>
      <c r="AL73" s="6">
        <f t="shared" si="25"/>
        <v>0.15303402876857986</v>
      </c>
      <c r="AM73" s="6">
        <f t="shared" si="26"/>
        <v>0.39221969583238303</v>
      </c>
      <c r="AN73" s="6">
        <f t="shared" si="27"/>
        <v>0.15303402876857986</v>
      </c>
      <c r="AO73" s="6">
        <f t="shared" si="28"/>
        <v>0.38810518791013288</v>
      </c>
      <c r="AP73" s="6">
        <f t="shared" si="29"/>
        <v>0.39221969583238303</v>
      </c>
      <c r="AQ73" s="6">
        <f t="shared" si="30"/>
        <v>0.39221969583238303</v>
      </c>
      <c r="AR73" s="6">
        <f t="shared" si="31"/>
        <v>0.14982234031404526</v>
      </c>
      <c r="AS73" s="6">
        <f t="shared" si="32"/>
        <v>0.15303402876857986</v>
      </c>
      <c r="AT73" s="6">
        <f t="shared" si="33"/>
        <v>0.39221969583238303</v>
      </c>
      <c r="AU73" s="6">
        <f t="shared" si="34"/>
        <v>0.39221969583238303</v>
      </c>
      <c r="AV73" s="6">
        <f t="shared" si="35"/>
        <v>0.39221969583238303</v>
      </c>
      <c r="AW73" s="6">
        <f t="shared" si="36"/>
        <v>0.38810518791013288</v>
      </c>
      <c r="AX73" s="6">
        <f t="shared" si="37"/>
        <v>5.9395939605204784E-2</v>
      </c>
      <c r="AY73" s="6">
        <f t="shared" si="38"/>
        <v>0.39221969583238303</v>
      </c>
      <c r="AZ73" s="6">
        <f t="shared" si="39"/>
        <v>0.39221969583238303</v>
      </c>
      <c r="BA73" s="6">
        <f t="shared" si="40"/>
        <v>0.38810518791013288</v>
      </c>
      <c r="BB73" s="6">
        <f t="shared" si="41"/>
        <v>0.36013489991209685</v>
      </c>
      <c r="BC73" s="6">
        <f t="shared" si="42"/>
        <v>0.14982234031404526</v>
      </c>
    </row>
    <row r="74" spans="20:55" x14ac:dyDescent="0.25">
      <c r="AJ74">
        <f t="shared" si="43"/>
        <v>341</v>
      </c>
      <c r="AK74" s="6">
        <f t="shared" si="24"/>
        <v>0.38267723242633672</v>
      </c>
      <c r="AL74" s="6">
        <f t="shared" si="25"/>
        <v>0.14881848562314282</v>
      </c>
      <c r="AM74" s="6">
        <f t="shared" si="26"/>
        <v>0.38679489085791779</v>
      </c>
      <c r="AN74" s="6">
        <f t="shared" si="27"/>
        <v>0.14881848562314282</v>
      </c>
      <c r="AO74" s="6">
        <f t="shared" si="28"/>
        <v>0.38267723242633672</v>
      </c>
      <c r="AP74" s="6">
        <f t="shared" si="29"/>
        <v>0.38679489085791779</v>
      </c>
      <c r="AQ74" s="6">
        <f t="shared" si="30"/>
        <v>0.38679489085791779</v>
      </c>
      <c r="AR74" s="6">
        <f t="shared" si="31"/>
        <v>0.14564928970459604</v>
      </c>
      <c r="AS74" s="6">
        <f t="shared" si="32"/>
        <v>0.14881848562314282</v>
      </c>
      <c r="AT74" s="6">
        <f t="shared" si="33"/>
        <v>0.38679489085791779</v>
      </c>
      <c r="AU74" s="6">
        <f t="shared" si="34"/>
        <v>0.38679489085791779</v>
      </c>
      <c r="AV74" s="6">
        <f t="shared" si="35"/>
        <v>0.38679489085791779</v>
      </c>
      <c r="AW74" s="6">
        <f t="shared" si="36"/>
        <v>0.38267723242633672</v>
      </c>
      <c r="AX74" s="6">
        <f t="shared" si="37"/>
        <v>5.6952014391383234E-2</v>
      </c>
      <c r="AY74" s="6">
        <f t="shared" si="38"/>
        <v>0.38679489085791779</v>
      </c>
      <c r="AZ74" s="6">
        <f t="shared" si="39"/>
        <v>0.38679489085791779</v>
      </c>
      <c r="BA74" s="6">
        <f t="shared" si="40"/>
        <v>0.38267723242633672</v>
      </c>
      <c r="BB74" s="6">
        <f t="shared" si="41"/>
        <v>0.35470310472709926</v>
      </c>
      <c r="BC74" s="6">
        <f t="shared" si="42"/>
        <v>0.14564928970459604</v>
      </c>
    </row>
    <row r="75" spans="20:55" x14ac:dyDescent="0.25">
      <c r="AJ75">
        <f t="shared" si="43"/>
        <v>346</v>
      </c>
      <c r="AK75" s="6">
        <f t="shared" si="24"/>
        <v>0.37732519115768598</v>
      </c>
      <c r="AL75" s="6">
        <f t="shared" si="25"/>
        <v>0.14471906569653517</v>
      </c>
      <c r="AM75" s="6">
        <f t="shared" si="26"/>
        <v>0.38144511655968755</v>
      </c>
      <c r="AN75" s="6">
        <f t="shared" si="27"/>
        <v>0.14471906569653517</v>
      </c>
      <c r="AO75" s="6">
        <f t="shared" si="28"/>
        <v>0.37732519115768598</v>
      </c>
      <c r="AP75" s="6">
        <f t="shared" si="29"/>
        <v>0.38144511655968755</v>
      </c>
      <c r="AQ75" s="6">
        <f t="shared" si="30"/>
        <v>0.38144511655968755</v>
      </c>
      <c r="AR75" s="6">
        <f t="shared" si="31"/>
        <v>0.14159247243760104</v>
      </c>
      <c r="AS75" s="6">
        <f t="shared" si="32"/>
        <v>0.14471906569653517</v>
      </c>
      <c r="AT75" s="6">
        <f t="shared" si="33"/>
        <v>0.38144511655968755</v>
      </c>
      <c r="AU75" s="6">
        <f t="shared" si="34"/>
        <v>0.38144511655968755</v>
      </c>
      <c r="AV75" s="6">
        <f t="shared" si="35"/>
        <v>0.38144511655968755</v>
      </c>
      <c r="AW75" s="6">
        <f t="shared" si="36"/>
        <v>0.37732519115768598</v>
      </c>
      <c r="AX75" s="6">
        <f t="shared" si="37"/>
        <v>5.4608647742515011E-2</v>
      </c>
      <c r="AY75" s="6">
        <f t="shared" si="38"/>
        <v>0.38144511655968755</v>
      </c>
      <c r="AZ75" s="6">
        <f t="shared" si="39"/>
        <v>0.38144511655968755</v>
      </c>
      <c r="BA75" s="6">
        <f t="shared" si="40"/>
        <v>0.37732519115768598</v>
      </c>
      <c r="BB75" s="6">
        <f t="shared" si="41"/>
        <v>0.34935323550634151</v>
      </c>
      <c r="BC75" s="6">
        <f t="shared" si="42"/>
        <v>0.14159247243760104</v>
      </c>
    </row>
    <row r="76" spans="20:55" x14ac:dyDescent="0.25">
      <c r="AJ76">
        <f t="shared" si="43"/>
        <v>351</v>
      </c>
      <c r="AK76" s="6">
        <f t="shared" si="24"/>
        <v>0.37204800238433455</v>
      </c>
      <c r="AL76" s="6">
        <f t="shared" si="25"/>
        <v>0.14073257020713237</v>
      </c>
      <c r="AM76" s="6">
        <f t="shared" si="26"/>
        <v>0.37616933518566198</v>
      </c>
      <c r="AN76" s="6">
        <f t="shared" si="27"/>
        <v>0.14073257020713237</v>
      </c>
      <c r="AO76" s="6">
        <f t="shared" si="28"/>
        <v>0.37204800238433455</v>
      </c>
      <c r="AP76" s="6">
        <f t="shared" si="29"/>
        <v>0.37616933518566198</v>
      </c>
      <c r="AQ76" s="6">
        <f t="shared" si="30"/>
        <v>0.37616933518566198</v>
      </c>
      <c r="AR76" s="6">
        <f t="shared" si="31"/>
        <v>0.13764865102778576</v>
      </c>
      <c r="AS76" s="6">
        <f t="shared" si="32"/>
        <v>0.14073257020713237</v>
      </c>
      <c r="AT76" s="6">
        <f t="shared" si="33"/>
        <v>0.37616933518566198</v>
      </c>
      <c r="AU76" s="6">
        <f t="shared" si="34"/>
        <v>0.37616933518566198</v>
      </c>
      <c r="AV76" s="6">
        <f t="shared" si="35"/>
        <v>0.37616933518566198</v>
      </c>
      <c r="AW76" s="6">
        <f t="shared" si="36"/>
        <v>0.37204800238433455</v>
      </c>
      <c r="AX76" s="6">
        <f t="shared" si="37"/>
        <v>5.2361702042224491E-2</v>
      </c>
      <c r="AY76" s="6">
        <f t="shared" si="38"/>
        <v>0.37616933518566198</v>
      </c>
      <c r="AZ76" s="6">
        <f t="shared" si="39"/>
        <v>0.37616933518566198</v>
      </c>
      <c r="BA76" s="6">
        <f t="shared" si="40"/>
        <v>0.37204800238433455</v>
      </c>
      <c r="BB76" s="6">
        <f t="shared" si="41"/>
        <v>0.3440840565876922</v>
      </c>
      <c r="BC76" s="6">
        <f t="shared" si="42"/>
        <v>0.13764865102778576</v>
      </c>
    </row>
    <row r="77" spans="20:55" x14ac:dyDescent="0.25">
      <c r="AJ77">
        <f t="shared" si="43"/>
        <v>356</v>
      </c>
      <c r="AK77" s="6">
        <f t="shared" si="24"/>
        <v>0.36684461923542117</v>
      </c>
      <c r="AL77" s="6">
        <f t="shared" si="25"/>
        <v>0.13685588848836538</v>
      </c>
      <c r="AM77" s="6">
        <f t="shared" si="26"/>
        <v>0.37096652333699709</v>
      </c>
      <c r="AN77" s="6">
        <f t="shared" si="27"/>
        <v>0.13685588848836538</v>
      </c>
      <c r="AO77" s="6">
        <f t="shared" si="28"/>
        <v>0.36684461923542117</v>
      </c>
      <c r="AP77" s="6">
        <f t="shared" si="29"/>
        <v>0.37096652333699709</v>
      </c>
      <c r="AQ77" s="6">
        <f t="shared" si="30"/>
        <v>0.37096652333699709</v>
      </c>
      <c r="AR77" s="6">
        <f t="shared" si="31"/>
        <v>0.13381467816461109</v>
      </c>
      <c r="AS77" s="6">
        <f t="shared" si="32"/>
        <v>0.13685588848836538</v>
      </c>
      <c r="AT77" s="6">
        <f t="shared" si="33"/>
        <v>0.37096652333699709</v>
      </c>
      <c r="AU77" s="6">
        <f t="shared" si="34"/>
        <v>0.37096652333699709</v>
      </c>
      <c r="AV77" s="6">
        <f t="shared" si="35"/>
        <v>0.37096652333699709</v>
      </c>
      <c r="AW77" s="6">
        <f t="shared" si="36"/>
        <v>0.36684461923542117</v>
      </c>
      <c r="AX77" s="6">
        <f t="shared" si="37"/>
        <v>5.0207209921884495E-2</v>
      </c>
      <c r="AY77" s="6">
        <f t="shared" si="38"/>
        <v>0.37096652333699709</v>
      </c>
      <c r="AZ77" s="6">
        <f t="shared" si="39"/>
        <v>0.37096652333699709</v>
      </c>
      <c r="BA77" s="6">
        <f t="shared" si="40"/>
        <v>0.36684461923542117</v>
      </c>
      <c r="BB77" s="6">
        <f t="shared" si="41"/>
        <v>0.33889435094610154</v>
      </c>
      <c r="BC77" s="6">
        <f t="shared" si="42"/>
        <v>0.13381467816461109</v>
      </c>
    </row>
    <row r="78" spans="20:55" x14ac:dyDescent="0.25">
      <c r="AJ78">
        <f t="shared" si="43"/>
        <v>361</v>
      </c>
      <c r="AK78" s="6">
        <f t="shared" si="24"/>
        <v>0.36171400948139465</v>
      </c>
      <c r="AL78" s="6">
        <f t="shared" si="25"/>
        <v>0.13308599556146444</v>
      </c>
      <c r="AM78" s="6">
        <f t="shared" si="26"/>
        <v>0.36583567176951587</v>
      </c>
      <c r="AN78" s="6">
        <f t="shared" si="27"/>
        <v>0.13308599556146444</v>
      </c>
      <c r="AO78" s="6">
        <f t="shared" si="28"/>
        <v>0.36171400948139465</v>
      </c>
      <c r="AP78" s="6">
        <f t="shared" si="29"/>
        <v>0.36583567176951587</v>
      </c>
      <c r="AQ78" s="6">
        <f t="shared" si="30"/>
        <v>0.36583567176951587</v>
      </c>
      <c r="AR78" s="6">
        <f t="shared" si="31"/>
        <v>0.13008749420060689</v>
      </c>
      <c r="AS78" s="6">
        <f t="shared" si="32"/>
        <v>0.13308599556146444</v>
      </c>
      <c r="AT78" s="6">
        <f t="shared" si="33"/>
        <v>0.36583567176951587</v>
      </c>
      <c r="AU78" s="6">
        <f t="shared" si="34"/>
        <v>0.36583567176951587</v>
      </c>
      <c r="AV78" s="6">
        <f t="shared" si="35"/>
        <v>0.36583567176951587</v>
      </c>
      <c r="AW78" s="6">
        <f t="shared" si="36"/>
        <v>0.36171400948139465</v>
      </c>
      <c r="AX78" s="6">
        <f t="shared" si="37"/>
        <v>4.814136725554554E-2</v>
      </c>
      <c r="AY78" s="6">
        <f t="shared" si="38"/>
        <v>0.36583567176951587</v>
      </c>
      <c r="AZ78" s="6">
        <f t="shared" si="39"/>
        <v>0.36583567176951587</v>
      </c>
      <c r="BA78" s="6">
        <f t="shared" si="40"/>
        <v>0.36171400948139465</v>
      </c>
      <c r="BB78" s="6">
        <f t="shared" si="41"/>
        <v>0.33378291991250486</v>
      </c>
      <c r="BC78" s="6">
        <f t="shared" si="42"/>
        <v>0.13008749420060689</v>
      </c>
    </row>
    <row r="79" spans="20:55" x14ac:dyDescent="0.25">
      <c r="AJ79">
        <f t="shared" si="43"/>
        <v>366</v>
      </c>
      <c r="AK79" s="6">
        <f t="shared" si="24"/>
        <v>0.35665515532924386</v>
      </c>
      <c r="AL79" s="6">
        <f t="shared" si="25"/>
        <v>0.12941994977506494</v>
      </c>
      <c r="AM79" s="6">
        <f t="shared" si="26"/>
        <v>0.36077578519793424</v>
      </c>
      <c r="AN79" s="6">
        <f t="shared" si="27"/>
        <v>0.12941994977506494</v>
      </c>
      <c r="AO79" s="6">
        <f t="shared" si="28"/>
        <v>0.35665515532924386</v>
      </c>
      <c r="AP79" s="6">
        <f t="shared" si="29"/>
        <v>0.36077578519793424</v>
      </c>
      <c r="AQ79" s="6">
        <f t="shared" si="30"/>
        <v>0.36077578519793424</v>
      </c>
      <c r="AR79" s="6">
        <f t="shared" si="31"/>
        <v>0.12646412470966409</v>
      </c>
      <c r="AS79" s="6">
        <f t="shared" si="32"/>
        <v>0.12941994977506494</v>
      </c>
      <c r="AT79" s="6">
        <f t="shared" si="33"/>
        <v>0.36077578519793424</v>
      </c>
      <c r="AU79" s="6">
        <f t="shared" si="34"/>
        <v>0.36077578519793424</v>
      </c>
      <c r="AV79" s="6">
        <f t="shared" si="35"/>
        <v>0.36077578519793424</v>
      </c>
      <c r="AW79" s="6">
        <f t="shared" si="36"/>
        <v>0.35665515532924386</v>
      </c>
      <c r="AX79" s="6">
        <f t="shared" si="37"/>
        <v>4.6160526443097816E-2</v>
      </c>
      <c r="AY79" s="6">
        <f t="shared" si="38"/>
        <v>0.36077578519793424</v>
      </c>
      <c r="AZ79" s="6">
        <f t="shared" si="39"/>
        <v>0.36077578519793424</v>
      </c>
      <c r="BA79" s="6">
        <f t="shared" si="40"/>
        <v>0.35665515532924386</v>
      </c>
      <c r="BB79" s="6">
        <f t="shared" si="41"/>
        <v>0.32874858289696501</v>
      </c>
      <c r="BC79" s="6">
        <f t="shared" si="42"/>
        <v>0.12646412470966409</v>
      </c>
    </row>
    <row r="80" spans="20:55" x14ac:dyDescent="0.25">
      <c r="AK80" s="11"/>
      <c r="AL80" s="11"/>
      <c r="AM80" s="11"/>
      <c r="AN80" s="11"/>
      <c r="AO80" s="11"/>
      <c r="AP80" s="11"/>
      <c r="AQ80" s="11"/>
      <c r="AR80" s="11"/>
      <c r="AS80" s="11"/>
      <c r="AT80" s="11"/>
      <c r="AU80" s="11"/>
      <c r="AV80" s="11"/>
      <c r="AW80" s="11"/>
      <c r="AX80" s="11"/>
      <c r="AY80" s="11"/>
      <c r="AZ80" s="11"/>
      <c r="BA80" s="11"/>
      <c r="BB80" s="11"/>
      <c r="BC80" s="11"/>
    </row>
    <row r="81" spans="37:55" x14ac:dyDescent="0.25">
      <c r="AK81" s="11"/>
      <c r="AL81" s="11"/>
      <c r="AM81" s="11"/>
      <c r="AN81" s="11"/>
      <c r="AO81" s="11"/>
      <c r="AP81" s="11"/>
      <c r="AQ81" s="11"/>
      <c r="AR81" s="11"/>
      <c r="AS81" s="11"/>
      <c r="AT81" s="11"/>
      <c r="AU81" s="11"/>
      <c r="AV81" s="11"/>
      <c r="AW81" s="11"/>
      <c r="AX81" s="11"/>
      <c r="AY81" s="11"/>
      <c r="AZ81" s="11"/>
      <c r="BA81" s="11"/>
      <c r="BB81" s="11"/>
      <c r="BC81" s="11"/>
    </row>
    <row r="82" spans="37:55" x14ac:dyDescent="0.25">
      <c r="AK82" s="11"/>
      <c r="AL82" s="11"/>
      <c r="AM82" s="11"/>
      <c r="AN82" s="11"/>
      <c r="AO82" s="11"/>
      <c r="AP82" s="11"/>
      <c r="AQ82" s="11"/>
      <c r="AR82" s="11"/>
      <c r="AS82" s="11"/>
      <c r="AT82" s="11"/>
      <c r="AU82" s="11"/>
      <c r="AV82" s="11"/>
      <c r="AW82" s="11"/>
      <c r="AX82" s="11"/>
      <c r="AY82" s="11"/>
      <c r="AZ82" s="11"/>
      <c r="BA82" s="11"/>
      <c r="BB82" s="11"/>
      <c r="BC82" s="11"/>
    </row>
    <row r="83" spans="37:55" x14ac:dyDescent="0.25">
      <c r="AK83" s="11"/>
      <c r="AL83" s="11"/>
      <c r="AM83" s="11"/>
      <c r="AN83" s="11"/>
      <c r="AO83" s="11"/>
      <c r="AP83" s="11"/>
      <c r="AQ83" s="11"/>
      <c r="AR83" s="11"/>
      <c r="AS83" s="11"/>
      <c r="AT83" s="11"/>
      <c r="AU83" s="11"/>
      <c r="AV83" s="11"/>
      <c r="AW83" s="11"/>
      <c r="AX83" s="11"/>
      <c r="AY83" s="11"/>
      <c r="AZ83" s="11"/>
      <c r="BA83" s="11"/>
      <c r="BB83" s="11"/>
      <c r="BC83" s="11"/>
    </row>
    <row r="84" spans="37:55" x14ac:dyDescent="0.25">
      <c r="AK84" s="11"/>
      <c r="AL84" s="11"/>
      <c r="AM84" s="11"/>
      <c r="AN84" s="11"/>
      <c r="AO84" s="11"/>
      <c r="AP84" s="11"/>
      <c r="AQ84" s="11"/>
      <c r="AR84" s="11"/>
      <c r="AS84" s="11"/>
      <c r="AT84" s="11"/>
      <c r="AU84" s="11"/>
      <c r="AV84" s="11"/>
      <c r="AW84" s="11"/>
      <c r="AX84" s="11"/>
      <c r="AY84" s="11"/>
      <c r="AZ84" s="11"/>
      <c r="BA84" s="11"/>
      <c r="BB84" s="11"/>
      <c r="BC84" s="11"/>
    </row>
    <row r="85" spans="37:55" x14ac:dyDescent="0.25">
      <c r="AK85" s="11"/>
      <c r="AL85" s="11"/>
      <c r="AM85" s="11"/>
      <c r="AN85" s="11"/>
      <c r="AO85" s="11"/>
      <c r="AP85" s="11"/>
      <c r="AQ85" s="11"/>
      <c r="AR85" s="11"/>
      <c r="AS85" s="11"/>
      <c r="AT85" s="11"/>
      <c r="AU85" s="11"/>
      <c r="AV85" s="11"/>
      <c r="AW85" s="11"/>
      <c r="AX85" s="11"/>
      <c r="AY85" s="11"/>
      <c r="AZ85" s="11"/>
      <c r="BA85" s="11"/>
      <c r="BB85" s="11"/>
      <c r="BC85" s="11"/>
    </row>
    <row r="86" spans="37:55" x14ac:dyDescent="0.25">
      <c r="AK86" s="11"/>
      <c r="AL86" s="11"/>
      <c r="AM86" s="11"/>
      <c r="AN86" s="11"/>
      <c r="AO86" s="11"/>
      <c r="AP86" s="11"/>
      <c r="AQ86" s="11"/>
      <c r="AR86" s="11"/>
      <c r="AS86" s="11"/>
      <c r="AT86" s="11"/>
      <c r="AU86" s="11"/>
      <c r="AV86" s="11"/>
      <c r="AW86" s="11"/>
      <c r="AX86" s="11"/>
      <c r="AY86" s="11"/>
      <c r="AZ86" s="11"/>
      <c r="BA86" s="11"/>
      <c r="BB86" s="11"/>
      <c r="BC86" s="11"/>
    </row>
    <row r="87" spans="37:55" x14ac:dyDescent="0.25">
      <c r="AK87" s="11"/>
      <c r="AL87" s="11"/>
      <c r="AM87" s="11"/>
      <c r="AN87" s="11"/>
      <c r="AO87" s="11"/>
      <c r="AP87" s="11"/>
      <c r="AQ87" s="11"/>
      <c r="AR87" s="11"/>
      <c r="AS87" s="11"/>
      <c r="AT87" s="11"/>
      <c r="AU87" s="11"/>
      <c r="AV87" s="11"/>
      <c r="AW87" s="11"/>
      <c r="AX87" s="11"/>
      <c r="AY87" s="11"/>
      <c r="AZ87" s="11"/>
      <c r="BA87" s="11"/>
      <c r="BB87" s="11"/>
      <c r="BC87" s="11"/>
    </row>
    <row r="88" spans="37:55" x14ac:dyDescent="0.25">
      <c r="AK88" s="11"/>
      <c r="AL88" s="11"/>
      <c r="AM88" s="11"/>
      <c r="AN88" s="11"/>
      <c r="AO88" s="11"/>
      <c r="AP88" s="11"/>
      <c r="AQ88" s="11"/>
      <c r="AR88" s="11"/>
      <c r="AS88" s="11"/>
      <c r="AT88" s="11"/>
      <c r="AU88" s="11"/>
      <c r="AV88" s="11"/>
      <c r="AW88" s="11"/>
      <c r="AX88" s="11"/>
      <c r="AY88" s="11"/>
      <c r="AZ88" s="11"/>
      <c r="BA88" s="11"/>
      <c r="BB88" s="11"/>
      <c r="BC88" s="11"/>
    </row>
  </sheetData>
  <sheetProtection sheet="1" objects="1" scenarios="1"/>
  <mergeCells count="7">
    <mergeCell ref="BA3:BC3"/>
    <mergeCell ref="B2:R3"/>
    <mergeCell ref="T2:AI3"/>
    <mergeCell ref="AO3:AQ3"/>
    <mergeCell ref="AK3:AN3"/>
    <mergeCell ref="AR3:AU3"/>
    <mergeCell ref="AV3:AZ3"/>
  </mergeCells>
  <pageMargins left="0.7" right="0.7" top="0.75" bottom="0.75" header="0.3" footer="0.3"/>
  <drawing r:id="rId1"/>
  <legacy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2:EG85"/>
  <sheetViews>
    <sheetView zoomScale="85" zoomScaleNormal="85" workbookViewId="0">
      <selection activeCell="O43" sqref="O43"/>
    </sheetView>
  </sheetViews>
  <sheetFormatPr defaultRowHeight="15" x14ac:dyDescent="0.25"/>
  <cols>
    <col min="1" max="1" width="3" customWidth="1"/>
    <col min="2" max="3" width="10.42578125" bestFit="1" customWidth="1"/>
    <col min="4" max="4" width="21.42578125" bestFit="1" customWidth="1"/>
    <col min="6" max="6" width="19.28515625" bestFit="1" customWidth="1"/>
    <col min="7" max="7" width="19.140625" bestFit="1" customWidth="1"/>
    <col min="8" max="8" width="18.140625" bestFit="1" customWidth="1"/>
    <col min="13" max="21" width="9.140625" style="60"/>
    <col min="22" max="24" width="9.140625" customWidth="1"/>
    <col min="25" max="25" width="12.42578125" customWidth="1"/>
    <col min="26" max="37" width="9.140625" customWidth="1"/>
    <col min="41" max="49" width="9.140625" style="60"/>
    <col min="50" max="52" width="9.140625" customWidth="1"/>
    <col min="53" max="53" width="12.42578125" customWidth="1"/>
    <col min="54" max="65" width="9.140625" customWidth="1"/>
    <col min="69" max="77" width="9.140625" style="60"/>
    <col min="78" max="80" width="9.140625" customWidth="1"/>
    <col min="81" max="81" width="12.42578125" customWidth="1"/>
    <col min="82" max="93" width="9.140625" customWidth="1"/>
    <col min="97" max="105" width="9.140625" style="60"/>
    <col min="106" max="108" width="9.140625" customWidth="1"/>
    <col min="109" max="109" width="12.42578125" customWidth="1"/>
    <col min="110" max="121" width="9.140625" customWidth="1"/>
    <col min="134" max="136" width="9.140625" customWidth="1"/>
    <col min="137" max="137" width="12.42578125" customWidth="1"/>
    <col min="138" max="149" width="9.140625" customWidth="1"/>
  </cols>
  <sheetData>
    <row r="2" spans="2:137" ht="15" customHeight="1" x14ac:dyDescent="0.25">
      <c r="B2" s="123" t="s">
        <v>372</v>
      </c>
      <c r="C2" s="123"/>
      <c r="D2" s="123"/>
      <c r="E2" s="123"/>
      <c r="F2" s="123"/>
      <c r="G2" s="123"/>
      <c r="H2" s="123"/>
    </row>
    <row r="3" spans="2:137" x14ac:dyDescent="0.25">
      <c r="B3" s="123"/>
      <c r="C3" s="123"/>
      <c r="D3" s="123"/>
      <c r="E3" s="123"/>
      <c r="F3" s="123"/>
      <c r="G3" s="123"/>
      <c r="H3" s="123"/>
      <c r="J3" s="130" t="s">
        <v>292</v>
      </c>
      <c r="K3" s="130"/>
      <c r="L3" s="130"/>
      <c r="M3" s="130"/>
      <c r="N3" s="130"/>
      <c r="O3" s="130"/>
      <c r="P3" s="130"/>
      <c r="Q3" s="130"/>
      <c r="R3" s="130"/>
      <c r="S3" s="130"/>
      <c r="T3" s="130"/>
      <c r="U3" s="130"/>
      <c r="AL3" s="130" t="s">
        <v>292</v>
      </c>
      <c r="AM3" s="130"/>
      <c r="AN3" s="130"/>
      <c r="AO3" s="130"/>
      <c r="AP3" s="130"/>
      <c r="AQ3" s="130"/>
      <c r="AR3" s="130"/>
      <c r="AS3" s="130"/>
      <c r="AT3" s="130"/>
      <c r="AU3" s="130"/>
      <c r="AV3" s="130"/>
      <c r="AW3" s="130"/>
      <c r="BN3" s="130" t="s">
        <v>292</v>
      </c>
      <c r="BO3" s="130"/>
      <c r="BP3" s="130"/>
      <c r="BQ3" s="130"/>
      <c r="BR3" s="130"/>
      <c r="BS3" s="130"/>
      <c r="BT3" s="130"/>
      <c r="BU3" s="130"/>
      <c r="BV3" s="130"/>
      <c r="BW3" s="130"/>
      <c r="BX3" s="130"/>
      <c r="BY3" s="130"/>
      <c r="CP3" s="130" t="s">
        <v>292</v>
      </c>
      <c r="CQ3" s="130"/>
      <c r="CR3" s="130"/>
      <c r="CS3" s="130"/>
      <c r="CT3" s="130"/>
      <c r="CU3" s="130"/>
      <c r="CV3" s="130"/>
      <c r="CW3" s="130"/>
      <c r="CX3" s="130"/>
      <c r="CY3" s="130"/>
      <c r="CZ3" s="130"/>
      <c r="DA3" s="130"/>
      <c r="DR3" s="130" t="s">
        <v>292</v>
      </c>
      <c r="DS3" s="130"/>
      <c r="DT3" s="130"/>
      <c r="DU3" s="130"/>
      <c r="DV3" s="130"/>
      <c r="DW3" s="130"/>
      <c r="DX3" s="130"/>
      <c r="DY3" s="130"/>
      <c r="DZ3" s="130"/>
      <c r="EA3" s="130"/>
      <c r="EB3" s="130"/>
      <c r="EC3" s="130"/>
    </row>
    <row r="4" spans="2:137" x14ac:dyDescent="0.25">
      <c r="B4" s="7" t="s">
        <v>165</v>
      </c>
      <c r="C4" s="7" t="s">
        <v>5</v>
      </c>
      <c r="D4" s="7" t="s">
        <v>197</v>
      </c>
      <c r="E4" s="7" t="s">
        <v>185</v>
      </c>
      <c r="F4" s="7" t="s">
        <v>278</v>
      </c>
      <c r="G4" s="7" t="s">
        <v>282</v>
      </c>
      <c r="H4" s="7" t="s">
        <v>280</v>
      </c>
      <c r="J4" s="131" t="s">
        <v>375</v>
      </c>
      <c r="K4" s="131"/>
      <c r="L4" s="131"/>
      <c r="M4" s="131"/>
      <c r="N4" s="131"/>
      <c r="O4" s="131"/>
      <c r="P4" s="131"/>
      <c r="Q4" s="131"/>
      <c r="R4" s="131"/>
      <c r="S4" s="131"/>
      <c r="T4" s="131"/>
      <c r="U4" s="131"/>
      <c r="AL4" s="131" t="s">
        <v>381</v>
      </c>
      <c r="AM4" s="131"/>
      <c r="AN4" s="131"/>
      <c r="AO4" s="131"/>
      <c r="AP4" s="131"/>
      <c r="AQ4" s="131"/>
      <c r="AR4" s="131"/>
      <c r="AS4" s="131"/>
      <c r="AT4" s="131"/>
      <c r="AU4" s="131"/>
      <c r="AV4" s="131"/>
      <c r="AW4" s="131"/>
      <c r="BN4" s="131" t="s">
        <v>383</v>
      </c>
      <c r="BO4" s="131"/>
      <c r="BP4" s="131"/>
      <c r="BQ4" s="131"/>
      <c r="BR4" s="131"/>
      <c r="BS4" s="131"/>
      <c r="BT4" s="131"/>
      <c r="BU4" s="131"/>
      <c r="BV4" s="131"/>
      <c r="BW4" s="131"/>
      <c r="BX4" s="131"/>
      <c r="BY4" s="131"/>
      <c r="CP4" s="131" t="s">
        <v>379</v>
      </c>
      <c r="CQ4" s="131"/>
      <c r="CR4" s="131"/>
      <c r="CS4" s="131"/>
      <c r="CT4" s="131"/>
      <c r="CU4" s="131"/>
      <c r="CV4" s="131"/>
      <c r="CW4" s="131"/>
      <c r="CX4" s="131"/>
      <c r="CY4" s="131"/>
      <c r="CZ4" s="131"/>
      <c r="DA4" s="131"/>
      <c r="DR4" s="131" t="s">
        <v>377</v>
      </c>
      <c r="DS4" s="131"/>
      <c r="DT4" s="131"/>
      <c r="DU4" s="131"/>
      <c r="DV4" s="131"/>
      <c r="DW4" s="131"/>
      <c r="DX4" s="131"/>
      <c r="DY4" s="131"/>
      <c r="DZ4" s="131"/>
      <c r="EA4" s="131"/>
      <c r="EB4" s="131"/>
      <c r="EC4" s="131"/>
    </row>
    <row r="5" spans="2:137" x14ac:dyDescent="0.25">
      <c r="B5" s="8"/>
      <c r="C5" s="9"/>
      <c r="D5" s="9"/>
      <c r="E5" s="9" t="s">
        <v>187</v>
      </c>
      <c r="F5" s="9" t="s">
        <v>199</v>
      </c>
      <c r="G5" s="9" t="s">
        <v>281</v>
      </c>
      <c r="H5" s="9" t="s">
        <v>283</v>
      </c>
      <c r="J5" s="116" t="s">
        <v>286</v>
      </c>
      <c r="K5" s="116" t="s">
        <v>284</v>
      </c>
      <c r="L5" s="116" t="s">
        <v>287</v>
      </c>
      <c r="M5" s="116" t="s">
        <v>306</v>
      </c>
      <c r="N5" s="116" t="s">
        <v>307</v>
      </c>
      <c r="O5" s="116" t="s">
        <v>308</v>
      </c>
      <c r="P5" s="116" t="s">
        <v>309</v>
      </c>
      <c r="Q5" s="116" t="s">
        <v>310</v>
      </c>
      <c r="R5" s="116" t="s">
        <v>311</v>
      </c>
      <c r="S5" s="116" t="s">
        <v>312</v>
      </c>
      <c r="T5" s="116" t="s">
        <v>313</v>
      </c>
      <c r="U5" s="116" t="s">
        <v>314</v>
      </c>
      <c r="X5" s="116" t="s">
        <v>286</v>
      </c>
      <c r="Y5" s="116" t="s">
        <v>314</v>
      </c>
      <c r="AL5" s="116" t="s">
        <v>286</v>
      </c>
      <c r="AM5" s="116" t="s">
        <v>284</v>
      </c>
      <c r="AN5" s="116" t="s">
        <v>287</v>
      </c>
      <c r="AO5" s="116" t="s">
        <v>306</v>
      </c>
      <c r="AP5" s="116" t="s">
        <v>307</v>
      </c>
      <c r="AQ5" s="116" t="s">
        <v>308</v>
      </c>
      <c r="AR5" s="116" t="s">
        <v>309</v>
      </c>
      <c r="AS5" s="116" t="s">
        <v>310</v>
      </c>
      <c r="AT5" s="116" t="s">
        <v>311</v>
      </c>
      <c r="AU5" s="116" t="s">
        <v>312</v>
      </c>
      <c r="AV5" s="116" t="s">
        <v>313</v>
      </c>
      <c r="AW5" s="116" t="s">
        <v>314</v>
      </c>
      <c r="AZ5" s="116" t="s">
        <v>286</v>
      </c>
      <c r="BA5" s="116" t="s">
        <v>314</v>
      </c>
      <c r="BN5" s="116" t="s">
        <v>286</v>
      </c>
      <c r="BO5" s="116" t="s">
        <v>284</v>
      </c>
      <c r="BP5" s="116" t="s">
        <v>287</v>
      </c>
      <c r="BQ5" s="116" t="s">
        <v>306</v>
      </c>
      <c r="BR5" s="116" t="s">
        <v>307</v>
      </c>
      <c r="BS5" s="116" t="s">
        <v>308</v>
      </c>
      <c r="BT5" s="116" t="s">
        <v>309</v>
      </c>
      <c r="BU5" s="116" t="s">
        <v>310</v>
      </c>
      <c r="BV5" s="116" t="s">
        <v>311</v>
      </c>
      <c r="BW5" s="116" t="s">
        <v>312</v>
      </c>
      <c r="BX5" s="116" t="s">
        <v>313</v>
      </c>
      <c r="BY5" s="116" t="s">
        <v>314</v>
      </c>
      <c r="CB5" s="116" t="s">
        <v>286</v>
      </c>
      <c r="CC5" s="116" t="s">
        <v>314</v>
      </c>
      <c r="CP5" s="116" t="s">
        <v>286</v>
      </c>
      <c r="CQ5" s="116" t="s">
        <v>284</v>
      </c>
      <c r="CR5" s="116" t="s">
        <v>287</v>
      </c>
      <c r="CS5" s="116" t="s">
        <v>306</v>
      </c>
      <c r="CT5" s="116" t="s">
        <v>307</v>
      </c>
      <c r="CU5" s="116" t="s">
        <v>308</v>
      </c>
      <c r="CV5" s="116" t="s">
        <v>309</v>
      </c>
      <c r="CW5" s="116" t="s">
        <v>310</v>
      </c>
      <c r="CX5" s="116" t="s">
        <v>311</v>
      </c>
      <c r="CY5" s="116" t="s">
        <v>312</v>
      </c>
      <c r="CZ5" s="116" t="s">
        <v>313</v>
      </c>
      <c r="DA5" s="116" t="s">
        <v>314</v>
      </c>
      <c r="DD5" s="116" t="s">
        <v>286</v>
      </c>
      <c r="DE5" s="116" t="s">
        <v>314</v>
      </c>
      <c r="DR5" s="116" t="s">
        <v>286</v>
      </c>
      <c r="DS5" s="116" t="s">
        <v>284</v>
      </c>
      <c r="DT5" s="116" t="s">
        <v>287</v>
      </c>
      <c r="DU5" s="116" t="s">
        <v>306</v>
      </c>
      <c r="DV5" s="116" t="s">
        <v>307</v>
      </c>
      <c r="DW5" s="116" t="s">
        <v>308</v>
      </c>
      <c r="DX5" s="116" t="s">
        <v>309</v>
      </c>
      <c r="DY5" s="116" t="s">
        <v>310</v>
      </c>
      <c r="DZ5" s="116" t="s">
        <v>311</v>
      </c>
      <c r="EA5" s="116" t="s">
        <v>312</v>
      </c>
      <c r="EB5" s="116" t="s">
        <v>313</v>
      </c>
      <c r="EC5" s="116" t="s">
        <v>314</v>
      </c>
      <c r="EF5" s="116" t="s">
        <v>286</v>
      </c>
      <c r="EG5" s="116" t="s">
        <v>314</v>
      </c>
    </row>
    <row r="6" spans="2:137" x14ac:dyDescent="0.25">
      <c r="B6" s="6">
        <f>DAYS360("31-12-2009",C6)</f>
        <v>575</v>
      </c>
      <c r="C6" s="5">
        <v>40760</v>
      </c>
      <c r="D6" s="6" t="s">
        <v>375</v>
      </c>
      <c r="E6" s="33">
        <f>5*24*60</f>
        <v>7200</v>
      </c>
      <c r="F6" s="79" t="s">
        <v>279</v>
      </c>
      <c r="G6" s="79" t="s">
        <v>279</v>
      </c>
      <c r="H6" s="79" t="s">
        <v>279</v>
      </c>
      <c r="J6" s="83" t="s">
        <v>293</v>
      </c>
      <c r="K6" s="83" t="s">
        <v>293</v>
      </c>
      <c r="L6" s="83" t="s">
        <v>293</v>
      </c>
      <c r="M6" s="85" t="s">
        <v>293</v>
      </c>
      <c r="N6" s="85" t="s">
        <v>293</v>
      </c>
      <c r="O6" s="85" t="s">
        <v>293</v>
      </c>
      <c r="P6" s="85" t="s">
        <v>293</v>
      </c>
      <c r="Q6" s="85" t="s">
        <v>293</v>
      </c>
      <c r="R6" s="85" t="s">
        <v>293</v>
      </c>
      <c r="S6" s="85" t="s">
        <v>293</v>
      </c>
      <c r="T6" s="85" t="s">
        <v>293</v>
      </c>
      <c r="U6" s="83" t="s">
        <v>293</v>
      </c>
      <c r="X6" s="83" t="s">
        <v>293</v>
      </c>
      <c r="Y6" s="83" t="s">
        <v>293</v>
      </c>
      <c r="AL6" s="83" t="s">
        <v>293</v>
      </c>
      <c r="AM6" s="83" t="s">
        <v>293</v>
      </c>
      <c r="AN6" s="83" t="s">
        <v>293</v>
      </c>
      <c r="AO6" s="85" t="s">
        <v>293</v>
      </c>
      <c r="AP6" s="85" t="s">
        <v>293</v>
      </c>
      <c r="AQ6" s="85" t="s">
        <v>293</v>
      </c>
      <c r="AR6" s="85" t="s">
        <v>293</v>
      </c>
      <c r="AS6" s="85" t="s">
        <v>293</v>
      </c>
      <c r="AT6" s="85" t="s">
        <v>293</v>
      </c>
      <c r="AU6" s="85" t="s">
        <v>293</v>
      </c>
      <c r="AV6" s="85" t="s">
        <v>293</v>
      </c>
      <c r="AW6" s="83" t="s">
        <v>293</v>
      </c>
      <c r="AZ6" s="83" t="s">
        <v>293</v>
      </c>
      <c r="BA6" s="83" t="s">
        <v>293</v>
      </c>
      <c r="BN6" s="83" t="s">
        <v>293</v>
      </c>
      <c r="BO6" s="83" t="s">
        <v>293</v>
      </c>
      <c r="BP6" s="83" t="s">
        <v>293</v>
      </c>
      <c r="BQ6" s="83" t="s">
        <v>293</v>
      </c>
      <c r="BR6" s="83" t="s">
        <v>293</v>
      </c>
      <c r="BS6" s="83" t="s">
        <v>293</v>
      </c>
      <c r="BT6" s="83" t="s">
        <v>293</v>
      </c>
      <c r="BU6" s="83" t="s">
        <v>293</v>
      </c>
      <c r="BV6" s="83" t="s">
        <v>293</v>
      </c>
      <c r="BW6" s="83" t="s">
        <v>293</v>
      </c>
      <c r="BX6" s="83" t="s">
        <v>293</v>
      </c>
      <c r="BY6" s="83" t="s">
        <v>293</v>
      </c>
      <c r="CB6" s="83" t="s">
        <v>293</v>
      </c>
      <c r="CC6" s="83" t="s">
        <v>293</v>
      </c>
      <c r="CP6" s="83" t="s">
        <v>293</v>
      </c>
      <c r="CQ6" s="83" t="s">
        <v>293</v>
      </c>
      <c r="CR6" s="83" t="s">
        <v>293</v>
      </c>
      <c r="CS6" s="83" t="s">
        <v>293</v>
      </c>
      <c r="CT6" s="83" t="s">
        <v>293</v>
      </c>
      <c r="CU6" s="83" t="s">
        <v>293</v>
      </c>
      <c r="CV6" s="83" t="s">
        <v>293</v>
      </c>
      <c r="CW6" s="83" t="s">
        <v>293</v>
      </c>
      <c r="CX6" s="83" t="s">
        <v>293</v>
      </c>
      <c r="CY6" s="83" t="s">
        <v>293</v>
      </c>
      <c r="CZ6" s="83" t="s">
        <v>293</v>
      </c>
      <c r="DA6" s="83" t="s">
        <v>293</v>
      </c>
      <c r="DD6" s="83" t="s">
        <v>293</v>
      </c>
      <c r="DE6" s="83" t="s">
        <v>293</v>
      </c>
      <c r="DR6" s="83" t="s">
        <v>293</v>
      </c>
      <c r="DS6" s="83" t="s">
        <v>293</v>
      </c>
      <c r="DT6" s="83" t="s">
        <v>293</v>
      </c>
      <c r="DU6" s="83" t="s">
        <v>293</v>
      </c>
      <c r="DV6" s="83" t="s">
        <v>293</v>
      </c>
      <c r="DW6" s="83" t="s">
        <v>293</v>
      </c>
      <c r="DX6" s="83" t="s">
        <v>293</v>
      </c>
      <c r="DY6" s="83" t="s">
        <v>293</v>
      </c>
      <c r="DZ6" s="83" t="s">
        <v>293</v>
      </c>
      <c r="EA6" s="83" t="s">
        <v>293</v>
      </c>
      <c r="EB6" s="83" t="s">
        <v>293</v>
      </c>
      <c r="EC6" s="83" t="s">
        <v>293</v>
      </c>
      <c r="EF6" s="83" t="s">
        <v>293</v>
      </c>
      <c r="EG6" s="83" t="s">
        <v>293</v>
      </c>
    </row>
    <row r="7" spans="2:137" x14ac:dyDescent="0.25">
      <c r="B7" s="6">
        <f t="shared" ref="B7:B8" si="0">DAYS360("31-12-2009",C7)</f>
        <v>916</v>
      </c>
      <c r="C7" s="5">
        <v>41106</v>
      </c>
      <c r="D7" s="6" t="s">
        <v>375</v>
      </c>
      <c r="E7" s="33">
        <v>60</v>
      </c>
      <c r="F7" s="6">
        <f>C7-C6</f>
        <v>346</v>
      </c>
      <c r="G7" s="6">
        <v>346</v>
      </c>
      <c r="H7" s="6">
        <v>102</v>
      </c>
      <c r="J7" s="6">
        <v>102</v>
      </c>
      <c r="K7" s="6">
        <v>1</v>
      </c>
      <c r="L7" s="83">
        <f>($L$13-K7+0.625)/($L$13+0.25)</f>
        <v>0.88095238095238093</v>
      </c>
      <c r="M7" s="88">
        <f t="shared" ref="M7:M11" si="1">1-L7</f>
        <v>0.11904761904761907</v>
      </c>
      <c r="N7" s="6">
        <f t="shared" ref="N7:N11" si="2">LN(LN(1/L7))</f>
        <v>-2.065525179882302</v>
      </c>
      <c r="O7" s="6">
        <f t="shared" ref="O7:O11" si="3">LN(J7)</f>
        <v>4.6249728132842707</v>
      </c>
      <c r="P7" s="6">
        <f t="shared" ref="P7:P11" si="4">1/L7</f>
        <v>1.1351351351351351</v>
      </c>
      <c r="Q7" s="6">
        <f t="shared" ref="Q7:Q11" si="5">LN(LN(P7))</f>
        <v>-2.065525179882302</v>
      </c>
      <c r="R7" s="6">
        <f t="shared" ref="R7:R11" si="6">LN(J7)</f>
        <v>4.6249728132842707</v>
      </c>
      <c r="S7" s="6">
        <f t="shared" ref="S7:S11" si="7">R7*R7</f>
        <v>21.390373523618621</v>
      </c>
      <c r="T7" s="6">
        <f t="shared" ref="T7:T11" si="8">R7*Q7</f>
        <v>-9.5529978021097488</v>
      </c>
      <c r="U7" s="112">
        <f>EXP(-((J7/$K$42)^$K$43))</f>
        <v>0.85703756609277904</v>
      </c>
      <c r="X7" s="30">
        <v>0</v>
      </c>
      <c r="Y7" s="112">
        <f t="shared" ref="Y7:Y38" si="9">EXP(-((X7/$K$42)^$K$43))</f>
        <v>1</v>
      </c>
      <c r="AL7" s="6">
        <v>232</v>
      </c>
      <c r="AM7" s="6">
        <v>1</v>
      </c>
      <c r="AN7" s="83">
        <f>($AN$10-AM7+0.625)/($AN$10+0.25)</f>
        <v>0.72222222222222221</v>
      </c>
      <c r="AO7" s="88">
        <f t="shared" ref="AO7:AO8" si="10">1-AN7</f>
        <v>0.27777777777777779</v>
      </c>
      <c r="AP7" s="6">
        <f t="shared" ref="AP7:AP8" si="11">LN(LN(1/AN7))</f>
        <v>-1.1226312468780728</v>
      </c>
      <c r="AQ7" s="6">
        <f t="shared" ref="AQ7:AQ8" si="12">LN(AL7)</f>
        <v>5.4467373716663099</v>
      </c>
      <c r="AR7" s="6">
        <f t="shared" ref="AR7:AR8" si="13">1/AN7</f>
        <v>1.3846153846153846</v>
      </c>
      <c r="AS7" s="6">
        <f t="shared" ref="AS7:AS8" si="14">LN(LN(AR7))</f>
        <v>-1.1226312468780728</v>
      </c>
      <c r="AT7" s="6">
        <f t="shared" ref="AT7:AT8" si="15">LN(AL7)</f>
        <v>5.4467373716663099</v>
      </c>
      <c r="AU7" s="6">
        <f t="shared" ref="AU7:AU8" si="16">AT7*AT7</f>
        <v>29.666947995906423</v>
      </c>
      <c r="AV7" s="6">
        <f t="shared" ref="AV7:AV8" si="17">AT7*AS7</f>
        <v>-6.1146775669711468</v>
      </c>
      <c r="AW7" s="112">
        <f>EXP(-((AL7/$AM$39)^$AM$40))</f>
        <v>0.72222222222223309</v>
      </c>
      <c r="AZ7" s="30">
        <v>0</v>
      </c>
      <c r="BA7" s="112">
        <f>EXP(-((AZ7/$AM$39)^$AM$40))</f>
        <v>1</v>
      </c>
      <c r="BN7" s="6">
        <v>24</v>
      </c>
      <c r="BO7" s="33">
        <v>1</v>
      </c>
      <c r="BP7" s="83">
        <f>($L$13-BO7+0.625)/($L$13+0.25)</f>
        <v>0.88095238095238093</v>
      </c>
      <c r="BQ7" s="88">
        <f t="shared" ref="BQ7:BQ11" si="18">1-BP7</f>
        <v>0.11904761904761907</v>
      </c>
      <c r="BR7" s="6">
        <f t="shared" ref="BR7:BR11" si="19">LN(LN(1/BP7))</f>
        <v>-2.065525179882302</v>
      </c>
      <c r="BS7" s="6">
        <f t="shared" ref="BS7:BS11" si="20">LN(BN7)</f>
        <v>3.1780538303479458</v>
      </c>
      <c r="BT7" s="6">
        <f t="shared" ref="BT7:BT11" si="21">1/BP7</f>
        <v>1.1351351351351351</v>
      </c>
      <c r="BU7" s="6">
        <f t="shared" ref="BU7:BU11" si="22">LN(LN(BT7))</f>
        <v>-2.065525179882302</v>
      </c>
      <c r="BV7" s="6">
        <f t="shared" ref="BV7:BV11" si="23">LN(BN7)</f>
        <v>3.1780538303479458</v>
      </c>
      <c r="BW7" s="6">
        <f t="shared" ref="BW7:BW11" si="24">BV7*BV7</f>
        <v>10.100026148589249</v>
      </c>
      <c r="BX7" s="6">
        <f t="shared" ref="BX7:BX11" si="25">BV7*BU7</f>
        <v>-6.5643502096050792</v>
      </c>
      <c r="BY7" s="112">
        <f>EXP(-((BN7/$BO$42)^$BO$43))</f>
        <v>0.89812570275482506</v>
      </c>
      <c r="CB7" s="30">
        <v>0</v>
      </c>
      <c r="CC7" s="112">
        <f>EXP(-((CB7/$BO$42)^$BO$43))</f>
        <v>1</v>
      </c>
      <c r="CP7" s="6">
        <v>69</v>
      </c>
      <c r="CQ7" s="33">
        <v>1</v>
      </c>
      <c r="CR7" s="83">
        <f>($CR$14-CQ7+0.625)/($CR$14+0.25)</f>
        <v>0.9</v>
      </c>
      <c r="CS7" s="88">
        <f t="shared" ref="CS7:CS12" si="26">1-CR7</f>
        <v>9.9999999999999978E-2</v>
      </c>
      <c r="CT7" s="6">
        <f t="shared" ref="CT7:CT12" si="27">LN(LN(1/CR7))</f>
        <v>-2.2503673273124449</v>
      </c>
      <c r="CU7" s="6">
        <f t="shared" ref="CU7:CU12" si="28">LN(CP7)</f>
        <v>4.2341065045972597</v>
      </c>
      <c r="CV7" s="6">
        <f t="shared" ref="CV7:CV12" si="29">1/CR7</f>
        <v>1.1111111111111112</v>
      </c>
      <c r="CW7" s="6">
        <f t="shared" ref="CW7:CW12" si="30">LN(LN(CV7))</f>
        <v>-2.2503673273124449</v>
      </c>
      <c r="CX7" s="6">
        <f t="shared" ref="CX7:CX12" si="31">LN(CP7)</f>
        <v>4.2341065045972597</v>
      </c>
      <c r="CY7" s="6">
        <f t="shared" ref="CY7:CY12" si="32">CX7*CX7</f>
        <v>17.927657892272823</v>
      </c>
      <c r="CZ7" s="6">
        <f t="shared" ref="CZ7:CZ12" si="33">CX7*CW7</f>
        <v>-9.5282949383067734</v>
      </c>
      <c r="DA7" s="112">
        <f>EXP(-((CP7/$CQ$43)^$CQ$44))</f>
        <v>0.90794233346743947</v>
      </c>
      <c r="DD7" s="30">
        <v>0</v>
      </c>
      <c r="DE7" s="112">
        <f>EXP(-((DD7/$CQ$43)^$CQ$44))</f>
        <v>1</v>
      </c>
      <c r="DR7" s="6">
        <v>14</v>
      </c>
      <c r="DS7" s="33">
        <v>1</v>
      </c>
      <c r="DT7" s="83">
        <f>($DT$11-DS7+0.625)/($DT$11+0.25)</f>
        <v>0.80769230769230771</v>
      </c>
      <c r="DU7" s="88">
        <f t="shared" ref="DU7:DU9" si="34">1-DT7</f>
        <v>0.19230769230769229</v>
      </c>
      <c r="DV7" s="6">
        <f t="shared" ref="DV7:DV9" si="35">LN(LN(1/DT7))</f>
        <v>-1.5437714325341114</v>
      </c>
      <c r="DW7" s="6">
        <f t="shared" ref="DW7:DW9" si="36">LN(DR7)</f>
        <v>2.6390573296152584</v>
      </c>
      <c r="DX7" s="6">
        <f t="shared" ref="DX7:DX9" si="37">1/DT7</f>
        <v>1.2380952380952381</v>
      </c>
      <c r="DY7" s="6">
        <f t="shared" ref="DY7:DY9" si="38">LN(LN(DX7))</f>
        <v>-1.5437714325341114</v>
      </c>
      <c r="DZ7" s="6">
        <f t="shared" ref="DZ7:DZ9" si="39">LN(DR7)</f>
        <v>2.6390573296152584</v>
      </c>
      <c r="EA7" s="6">
        <f t="shared" ref="EA7:EA9" si="40">DZ7*DZ7</f>
        <v>6.9646235889960186</v>
      </c>
      <c r="EB7" s="6">
        <f t="shared" ref="EB7:EB9" si="41">DZ7*DY7</f>
        <v>-4.0741013142797939</v>
      </c>
      <c r="EC7" s="112">
        <f>EXP(-((DR7/$DS$40)^$DS$41))</f>
        <v>0.81648451851551618</v>
      </c>
      <c r="EF7" s="30">
        <v>0</v>
      </c>
      <c r="EG7" s="112">
        <f>EXP(-((EF7/$DS$40)^$DS$41))</f>
        <v>1</v>
      </c>
    </row>
    <row r="8" spans="2:137" x14ac:dyDescent="0.25">
      <c r="B8" s="6">
        <f t="shared" si="0"/>
        <v>1016</v>
      </c>
      <c r="C8" s="5">
        <v>41208</v>
      </c>
      <c r="D8" s="6" t="s">
        <v>375</v>
      </c>
      <c r="E8" s="33">
        <v>360</v>
      </c>
      <c r="F8" s="6">
        <f t="shared" ref="F8:F31" si="42">C8-C7</f>
        <v>102</v>
      </c>
      <c r="G8" s="6">
        <v>102</v>
      </c>
      <c r="H8" s="6">
        <v>175</v>
      </c>
      <c r="J8" s="6">
        <v>175</v>
      </c>
      <c r="K8" s="6">
        <v>2</v>
      </c>
      <c r="L8" s="83">
        <f t="shared" ref="L8:L11" si="43">($L$13-K8+0.625)/($L$13+0.25)</f>
        <v>0.69047619047619047</v>
      </c>
      <c r="M8" s="88">
        <f t="shared" si="1"/>
        <v>0.30952380952380953</v>
      </c>
      <c r="N8" s="6">
        <f t="shared" si="2"/>
        <v>-0.99324254465125028</v>
      </c>
      <c r="O8" s="6">
        <f t="shared" si="3"/>
        <v>5.1647859739235145</v>
      </c>
      <c r="P8" s="6">
        <f t="shared" si="4"/>
        <v>1.4482758620689655</v>
      </c>
      <c r="Q8" s="6">
        <f t="shared" si="5"/>
        <v>-0.99324254465125028</v>
      </c>
      <c r="R8" s="6">
        <f t="shared" si="6"/>
        <v>5.1647859739235145</v>
      </c>
      <c r="S8" s="6">
        <f t="shared" si="7"/>
        <v>26.675014156437065</v>
      </c>
      <c r="T8" s="6">
        <f t="shared" si="8"/>
        <v>-5.1298851633188773</v>
      </c>
      <c r="U8" s="112">
        <f>EXP(-((J8/$K$42)^$K$43))</f>
        <v>0.69720223818757221</v>
      </c>
      <c r="X8" s="34">
        <v>10</v>
      </c>
      <c r="Y8" s="112">
        <f t="shared" si="9"/>
        <v>0.99601305881747693</v>
      </c>
      <c r="AL8" s="6">
        <v>342</v>
      </c>
      <c r="AM8" s="6">
        <v>2</v>
      </c>
      <c r="AN8" s="83">
        <f>($AN$10-AM8+0.625)/($AN$10+0.25)</f>
        <v>0.27777777777777779</v>
      </c>
      <c r="AO8" s="88">
        <f t="shared" si="10"/>
        <v>0.72222222222222221</v>
      </c>
      <c r="AP8" s="6">
        <f t="shared" si="11"/>
        <v>0.24758937869430037</v>
      </c>
      <c r="AQ8" s="6">
        <f t="shared" si="12"/>
        <v>5.8348107370626048</v>
      </c>
      <c r="AR8" s="6">
        <f t="shared" si="13"/>
        <v>3.5999999999999996</v>
      </c>
      <c r="AS8" s="6">
        <f t="shared" si="14"/>
        <v>0.24758937869430037</v>
      </c>
      <c r="AT8" s="6">
        <f t="shared" si="15"/>
        <v>5.8348107370626048</v>
      </c>
      <c r="AU8" s="6">
        <f t="shared" si="16"/>
        <v>34.04501633734106</v>
      </c>
      <c r="AV8" s="6">
        <f t="shared" si="17"/>
        <v>1.4446371651881631</v>
      </c>
      <c r="AW8" s="112">
        <f>EXP(-((AL8/$AM$39)^$AM$40))</f>
        <v>0.27777777777779689</v>
      </c>
      <c r="AZ8" s="34">
        <v>10</v>
      </c>
      <c r="BA8" s="112">
        <f t="shared" ref="BA8:BA38" si="44">EXP(-((AZ8/$AM$39)^$AM$40))</f>
        <v>0.99999508931544134</v>
      </c>
      <c r="BN8" s="6">
        <v>148</v>
      </c>
      <c r="BO8" s="33">
        <v>2</v>
      </c>
      <c r="BP8" s="83">
        <f t="shared" ref="BP8:BP11" si="45">($L$13-BO8+0.625)/($L$13+0.25)</f>
        <v>0.69047619047619047</v>
      </c>
      <c r="BQ8" s="88">
        <f t="shared" si="18"/>
        <v>0.30952380952380953</v>
      </c>
      <c r="BR8" s="6">
        <f t="shared" si="19"/>
        <v>-0.99324254465125028</v>
      </c>
      <c r="BS8" s="6">
        <f t="shared" si="20"/>
        <v>4.9972122737641147</v>
      </c>
      <c r="BT8" s="6">
        <f t="shared" si="21"/>
        <v>1.4482758620689655</v>
      </c>
      <c r="BU8" s="6">
        <f t="shared" si="22"/>
        <v>-0.99324254465125028</v>
      </c>
      <c r="BV8" s="6">
        <f t="shared" si="23"/>
        <v>4.9972122737641147</v>
      </c>
      <c r="BW8" s="6">
        <f t="shared" si="24"/>
        <v>24.972130509058712</v>
      </c>
      <c r="BX8" s="6">
        <f t="shared" si="25"/>
        <v>-4.96344383495593</v>
      </c>
      <c r="BY8" s="112">
        <f t="shared" ref="BY8:BY11" si="46">EXP(-((BN8/$BO$42)^$BO$43))</f>
        <v>0.59761029849386638</v>
      </c>
      <c r="CB8" s="34">
        <v>10</v>
      </c>
      <c r="CC8" s="112">
        <f t="shared" ref="CC8:CC38" si="47">EXP(-((CB8/$BO$42)^$BO$43))</f>
        <v>0.95070720970285039</v>
      </c>
      <c r="CP8" s="6">
        <v>165</v>
      </c>
      <c r="CQ8" s="33">
        <v>2</v>
      </c>
      <c r="CR8" s="83">
        <f t="shared" ref="CR8:CR12" si="48">($CR$14-CQ8+0.625)/($CR$14+0.25)</f>
        <v>0.74</v>
      </c>
      <c r="CS8" s="88">
        <f t="shared" si="26"/>
        <v>0.26</v>
      </c>
      <c r="CT8" s="6">
        <f t="shared" si="27"/>
        <v>-1.2002959297088209</v>
      </c>
      <c r="CU8" s="6">
        <f t="shared" si="28"/>
        <v>5.1059454739005803</v>
      </c>
      <c r="CV8" s="6">
        <f t="shared" si="29"/>
        <v>1.3513513513513513</v>
      </c>
      <c r="CW8" s="6">
        <f t="shared" si="30"/>
        <v>-1.2002959297088209</v>
      </c>
      <c r="CX8" s="6">
        <f t="shared" si="31"/>
        <v>5.1059454739005803</v>
      </c>
      <c r="CY8" s="6">
        <f t="shared" si="32"/>
        <v>26.070679182445822</v>
      </c>
      <c r="CZ8" s="6">
        <f t="shared" si="33"/>
        <v>-6.1286455696380431</v>
      </c>
      <c r="DA8" s="112">
        <f t="shared" ref="DA8:DA12" si="49">EXP(-((CP8/$CQ$43)^$CQ$44))</f>
        <v>0.66317730879382053</v>
      </c>
      <c r="DD8" s="34">
        <v>10</v>
      </c>
      <c r="DE8" s="112">
        <f t="shared" ref="DE8:DE38" si="50">EXP(-((DD8/$CQ$43)^$CQ$44))</f>
        <v>0.99609870713769066</v>
      </c>
      <c r="DR8" s="6">
        <v>500</v>
      </c>
      <c r="DS8" s="33">
        <v>2</v>
      </c>
      <c r="DT8" s="83">
        <f>($DT$11-DS8+0.625)/($DT$11+0.25)</f>
        <v>0.5</v>
      </c>
      <c r="DU8" s="88">
        <f t="shared" si="34"/>
        <v>0.5</v>
      </c>
      <c r="DV8" s="6">
        <f t="shared" si="35"/>
        <v>-0.36651292058166435</v>
      </c>
      <c r="DW8" s="6">
        <f t="shared" si="36"/>
        <v>6.2146080984221914</v>
      </c>
      <c r="DX8" s="6">
        <f t="shared" si="37"/>
        <v>2</v>
      </c>
      <c r="DY8" s="6">
        <f t="shared" si="38"/>
        <v>-0.36651292058166435</v>
      </c>
      <c r="DZ8" s="6">
        <f t="shared" si="39"/>
        <v>6.2146080984221914</v>
      </c>
      <c r="EA8" s="6">
        <f t="shared" si="40"/>
        <v>38.621353816974683</v>
      </c>
      <c r="EB8" s="6">
        <f t="shared" si="41"/>
        <v>-2.2777341644231806</v>
      </c>
      <c r="EC8" s="112">
        <f>EXP(-((DR8/$DS$40)^$DS$41))</f>
        <v>0.39327654308453353</v>
      </c>
      <c r="EF8" s="34">
        <v>10</v>
      </c>
      <c r="EG8" s="112">
        <f t="shared" ref="EG8:EG38" si="51">EXP(-((EF8/$DS$40)^$DS$41))</f>
        <v>0.83894120413426709</v>
      </c>
    </row>
    <row r="9" spans="2:137" x14ac:dyDescent="0.25">
      <c r="B9" s="6">
        <f>DAYS360("31-12-2009",C9)</f>
        <v>1620</v>
      </c>
      <c r="C9" s="5">
        <v>41820</v>
      </c>
      <c r="D9" s="6" t="s">
        <v>375</v>
      </c>
      <c r="E9" s="6">
        <v>690</v>
      </c>
      <c r="F9" s="6">
        <f t="shared" si="42"/>
        <v>612</v>
      </c>
      <c r="G9" s="6">
        <v>612</v>
      </c>
      <c r="H9" s="6">
        <v>225</v>
      </c>
      <c r="J9" s="6">
        <v>225</v>
      </c>
      <c r="K9" s="6">
        <v>3</v>
      </c>
      <c r="L9" s="83">
        <f t="shared" si="43"/>
        <v>0.5</v>
      </c>
      <c r="M9" s="88">
        <f t="shared" si="1"/>
        <v>0.5</v>
      </c>
      <c r="N9" s="6">
        <f t="shared" si="2"/>
        <v>-0.36651292058166435</v>
      </c>
      <c r="O9" s="6">
        <f t="shared" si="3"/>
        <v>5.4161004022044201</v>
      </c>
      <c r="P9" s="6">
        <f t="shared" si="4"/>
        <v>2</v>
      </c>
      <c r="Q9" s="6">
        <f t="shared" si="5"/>
        <v>-0.36651292058166435</v>
      </c>
      <c r="R9" s="6">
        <f t="shared" si="6"/>
        <v>5.4161004022044201</v>
      </c>
      <c r="S9" s="6">
        <f t="shared" si="7"/>
        <v>29.334143566758883</v>
      </c>
      <c r="T9" s="6">
        <f t="shared" si="8"/>
        <v>-1.9850707765754689</v>
      </c>
      <c r="U9" s="112">
        <f>EXP(-((J9/$K$42)^$K$43))</f>
        <v>0.58532291342404297</v>
      </c>
      <c r="X9" s="34">
        <f>X8+10</f>
        <v>20</v>
      </c>
      <c r="Y9" s="112">
        <f t="shared" si="9"/>
        <v>0.98818252074950197</v>
      </c>
      <c r="AZ9" s="34">
        <f>AZ8+10</f>
        <v>20</v>
      </c>
      <c r="BA9" s="112">
        <f t="shared" si="44"/>
        <v>0.99994324342683583</v>
      </c>
      <c r="BN9" s="6">
        <v>236</v>
      </c>
      <c r="BO9" s="6">
        <v>3</v>
      </c>
      <c r="BP9" s="83">
        <f t="shared" si="45"/>
        <v>0.5</v>
      </c>
      <c r="BQ9" s="88">
        <f t="shared" si="18"/>
        <v>0.5</v>
      </c>
      <c r="BR9" s="6">
        <f t="shared" si="19"/>
        <v>-0.36651292058166435</v>
      </c>
      <c r="BS9" s="6">
        <f t="shared" si="20"/>
        <v>5.4638318050256105</v>
      </c>
      <c r="BT9" s="6">
        <f t="shared" si="21"/>
        <v>2</v>
      </c>
      <c r="BU9" s="6">
        <f t="shared" si="22"/>
        <v>-0.36651292058166435</v>
      </c>
      <c r="BV9" s="6">
        <f t="shared" si="23"/>
        <v>5.4638318050256105</v>
      </c>
      <c r="BW9" s="6">
        <f t="shared" si="24"/>
        <v>29.853457993609421</v>
      </c>
      <c r="BX9" s="6">
        <f t="shared" si="25"/>
        <v>-2.0025649524269236</v>
      </c>
      <c r="BY9" s="112">
        <f t="shared" si="46"/>
        <v>0.46325686184386355</v>
      </c>
      <c r="CB9" s="34">
        <f>CB8+10</f>
        <v>20</v>
      </c>
      <c r="CC9" s="112">
        <f t="shared" si="47"/>
        <v>0.91225938816755336</v>
      </c>
      <c r="CP9" s="6">
        <v>175</v>
      </c>
      <c r="CQ9" s="6">
        <v>3</v>
      </c>
      <c r="CR9" s="83">
        <f t="shared" si="48"/>
        <v>0.57999999999999996</v>
      </c>
      <c r="CS9" s="88">
        <f t="shared" si="26"/>
        <v>0.42000000000000004</v>
      </c>
      <c r="CT9" s="6">
        <f t="shared" si="27"/>
        <v>-0.60747020517852923</v>
      </c>
      <c r="CU9" s="6">
        <f t="shared" si="28"/>
        <v>5.1647859739235145</v>
      </c>
      <c r="CV9" s="6">
        <f t="shared" si="29"/>
        <v>1.7241379310344829</v>
      </c>
      <c r="CW9" s="6">
        <f t="shared" si="30"/>
        <v>-0.60747020517852923</v>
      </c>
      <c r="CX9" s="6">
        <f t="shared" si="31"/>
        <v>5.1647859739235145</v>
      </c>
      <c r="CY9" s="6">
        <f t="shared" si="32"/>
        <v>26.675014156437065</v>
      </c>
      <c r="CZ9" s="6">
        <f t="shared" si="33"/>
        <v>-3.1374535952825071</v>
      </c>
      <c r="DA9" s="112">
        <f t="shared" si="49"/>
        <v>0.63580462381912406</v>
      </c>
      <c r="DD9" s="34">
        <f>DD8+10</f>
        <v>20</v>
      </c>
      <c r="DE9" s="112">
        <f t="shared" si="50"/>
        <v>0.98771996012690133</v>
      </c>
      <c r="DR9" s="6">
        <v>1067</v>
      </c>
      <c r="DS9" s="33">
        <v>3</v>
      </c>
      <c r="DT9" s="83">
        <f>($DT$11-DS9+0.625)/($DT$11+0.25)</f>
        <v>0.19230769230769232</v>
      </c>
      <c r="DU9" s="88">
        <f t="shared" si="34"/>
        <v>0.80769230769230771</v>
      </c>
      <c r="DV9" s="6">
        <f t="shared" si="35"/>
        <v>0.49996200309656491</v>
      </c>
      <c r="DW9" s="6">
        <f t="shared" si="36"/>
        <v>6.9726062513017535</v>
      </c>
      <c r="DX9" s="6">
        <f t="shared" si="37"/>
        <v>5.1999999999999993</v>
      </c>
      <c r="DY9" s="6">
        <f t="shared" si="38"/>
        <v>0.49996200309656491</v>
      </c>
      <c r="DZ9" s="6">
        <f t="shared" si="39"/>
        <v>6.9726062513017535</v>
      </c>
      <c r="EA9" s="6">
        <f t="shared" si="40"/>
        <v>48.617237935692295</v>
      </c>
      <c r="EB9" s="6">
        <f t="shared" si="41"/>
        <v>3.4860381882044553</v>
      </c>
      <c r="EC9" s="112">
        <f>EXP(-((DR9/$DS$40)^$DS$41))</f>
        <v>0.27529895266132576</v>
      </c>
      <c r="EF9" s="34">
        <f>EF8+10</f>
        <v>20</v>
      </c>
      <c r="EG9" s="112">
        <f t="shared" si="51"/>
        <v>0.78970175684559818</v>
      </c>
    </row>
    <row r="10" spans="2:137" x14ac:dyDescent="0.25">
      <c r="B10" s="6">
        <f>DAYS360("31-12-2009",C10)</f>
        <v>1840</v>
      </c>
      <c r="C10" s="5">
        <v>42045</v>
      </c>
      <c r="D10" s="6" t="s">
        <v>375</v>
      </c>
      <c r="E10" s="30">
        <v>45</v>
      </c>
      <c r="F10" s="6">
        <f t="shared" si="42"/>
        <v>225</v>
      </c>
      <c r="G10" s="6">
        <v>225</v>
      </c>
      <c r="H10" s="6">
        <v>346</v>
      </c>
      <c r="J10" s="6">
        <v>346</v>
      </c>
      <c r="K10" s="6">
        <v>4</v>
      </c>
      <c r="L10" s="83">
        <f t="shared" si="43"/>
        <v>0.30952380952380953</v>
      </c>
      <c r="M10" s="88">
        <f t="shared" si="1"/>
        <v>0.69047619047619047</v>
      </c>
      <c r="N10" s="6">
        <f t="shared" si="2"/>
        <v>0.15932605940720618</v>
      </c>
      <c r="O10" s="6">
        <f t="shared" si="3"/>
        <v>5.8464387750577247</v>
      </c>
      <c r="P10" s="6">
        <f t="shared" si="4"/>
        <v>3.2307692307692308</v>
      </c>
      <c r="Q10" s="6">
        <f t="shared" si="5"/>
        <v>0.15932605940720618</v>
      </c>
      <c r="R10" s="6">
        <f t="shared" si="6"/>
        <v>5.8464387750577247</v>
      </c>
      <c r="S10" s="6">
        <f t="shared" si="7"/>
        <v>34.18084635049847</v>
      </c>
      <c r="T10" s="6">
        <f t="shared" si="8"/>
        <v>0.93149005159544074</v>
      </c>
      <c r="U10" s="112">
        <f>EXP(-((J10/$K$42)^$K$43))</f>
        <v>0.34852028985647721</v>
      </c>
      <c r="X10" s="34">
        <f t="shared" ref="X10:X34" si="52">X9+10</f>
        <v>30</v>
      </c>
      <c r="Y10" s="112">
        <f t="shared" si="9"/>
        <v>0.97775339047884002</v>
      </c>
      <c r="AM10" s="80" t="s">
        <v>285</v>
      </c>
      <c r="AN10" s="81">
        <f>COUNT(AM7:AM8)</f>
        <v>2</v>
      </c>
      <c r="AO10" s="114"/>
      <c r="AP10" s="114"/>
      <c r="AQ10"/>
      <c r="AR10" s="80" t="s">
        <v>325</v>
      </c>
      <c r="AS10" s="117">
        <f>SUM(AS7:AS8)</f>
        <v>-0.87504186818377239</v>
      </c>
      <c r="AT10">
        <f>SUM(AT7:AT8)</f>
        <v>11.281548108728915</v>
      </c>
      <c r="AU10">
        <f>SUM(AU7:AU8)</f>
        <v>63.711964333247479</v>
      </c>
      <c r="AV10">
        <f>SUM(AV7:AV8)</f>
        <v>-4.670040401782984</v>
      </c>
      <c r="AW10" s="114"/>
      <c r="AZ10" s="34">
        <f t="shared" ref="AZ10:AZ34" si="53">AZ9+10</f>
        <v>30</v>
      </c>
      <c r="BA10" s="112">
        <f t="shared" si="44"/>
        <v>0.99976246642810229</v>
      </c>
      <c r="BN10" s="6">
        <v>363</v>
      </c>
      <c r="BO10" s="6">
        <v>4</v>
      </c>
      <c r="BP10" s="83">
        <f t="shared" si="45"/>
        <v>0.30952380952380953</v>
      </c>
      <c r="BQ10" s="88">
        <f t="shared" si="18"/>
        <v>0.69047619047619047</v>
      </c>
      <c r="BR10" s="6">
        <f t="shared" si="19"/>
        <v>0.15932605940720618</v>
      </c>
      <c r="BS10" s="6">
        <f t="shared" si="20"/>
        <v>5.8944028342648505</v>
      </c>
      <c r="BT10" s="6">
        <f t="shared" si="21"/>
        <v>3.2307692307692308</v>
      </c>
      <c r="BU10" s="6">
        <f t="shared" si="22"/>
        <v>0.15932605940720618</v>
      </c>
      <c r="BV10" s="6">
        <f t="shared" si="23"/>
        <v>5.8944028342648505</v>
      </c>
      <c r="BW10" s="6">
        <f t="shared" si="24"/>
        <v>34.743984772589499</v>
      </c>
      <c r="BX10" s="6">
        <f t="shared" si="25"/>
        <v>0.93913197614208599</v>
      </c>
      <c r="BY10" s="112">
        <f t="shared" si="46"/>
        <v>0.32793541795613074</v>
      </c>
      <c r="CB10" s="34">
        <f t="shared" ref="CB10:CB34" si="54">CB9+10</f>
        <v>30</v>
      </c>
      <c r="CC10" s="112">
        <f t="shared" si="47"/>
        <v>0.87790821062699076</v>
      </c>
      <c r="CP10" s="6">
        <v>263</v>
      </c>
      <c r="CQ10" s="6">
        <v>4</v>
      </c>
      <c r="CR10" s="83">
        <f t="shared" si="48"/>
        <v>0.42</v>
      </c>
      <c r="CS10" s="88">
        <f t="shared" si="26"/>
        <v>0.58000000000000007</v>
      </c>
      <c r="CT10" s="6">
        <f t="shared" si="27"/>
        <v>-0.14213911274667057</v>
      </c>
      <c r="CU10" s="6">
        <f t="shared" si="28"/>
        <v>5.5721540321777647</v>
      </c>
      <c r="CV10" s="6">
        <f t="shared" si="29"/>
        <v>2.3809523809523809</v>
      </c>
      <c r="CW10" s="6">
        <f t="shared" si="30"/>
        <v>-0.14213911274667057</v>
      </c>
      <c r="CX10" s="6">
        <f t="shared" si="31"/>
        <v>5.5721540321777647</v>
      </c>
      <c r="CY10" s="6">
        <f t="shared" si="32"/>
        <v>31.048900558314923</v>
      </c>
      <c r="CZ10" s="6">
        <f t="shared" si="33"/>
        <v>-0.79202103022153036</v>
      </c>
      <c r="DA10" s="112">
        <f t="shared" si="49"/>
        <v>0.41037998653019464</v>
      </c>
      <c r="DD10" s="34">
        <f t="shared" ref="DD10:DD34" si="55">DD9+10</f>
        <v>30</v>
      </c>
      <c r="DE10" s="112">
        <f t="shared" si="50"/>
        <v>0.97606639512629412</v>
      </c>
      <c r="EF10" s="34">
        <f t="shared" ref="EF10:EF34" si="56">EF9+10</f>
        <v>30</v>
      </c>
      <c r="EG10" s="112">
        <f t="shared" si="51"/>
        <v>0.75523454248512778</v>
      </c>
    </row>
    <row r="11" spans="2:137" x14ac:dyDescent="0.25">
      <c r="B11" s="6">
        <f>DAYS360("31-12-2009",C11)</f>
        <v>2014</v>
      </c>
      <c r="C11" s="5">
        <v>42220</v>
      </c>
      <c r="D11" s="6" t="s">
        <v>375</v>
      </c>
      <c r="E11" s="30">
        <f>21*60</f>
        <v>1260</v>
      </c>
      <c r="F11" s="6">
        <f t="shared" si="42"/>
        <v>175</v>
      </c>
      <c r="G11" s="6">
        <v>175</v>
      </c>
      <c r="H11" s="6">
        <v>612</v>
      </c>
      <c r="J11" s="6">
        <v>612</v>
      </c>
      <c r="K11" s="6">
        <v>5</v>
      </c>
      <c r="L11" s="83">
        <f t="shared" si="43"/>
        <v>0.11904761904761904</v>
      </c>
      <c r="M11" s="88">
        <f t="shared" si="1"/>
        <v>0.88095238095238093</v>
      </c>
      <c r="N11" s="6">
        <f t="shared" si="2"/>
        <v>0.75529144987959329</v>
      </c>
      <c r="O11" s="6">
        <f t="shared" si="3"/>
        <v>6.4167322825123261</v>
      </c>
      <c r="P11" s="6">
        <f t="shared" si="4"/>
        <v>8.4</v>
      </c>
      <c r="Q11" s="6">
        <f t="shared" si="5"/>
        <v>0.75529144987959329</v>
      </c>
      <c r="R11" s="6">
        <f t="shared" si="6"/>
        <v>6.4167322825123261</v>
      </c>
      <c r="S11" s="6">
        <f t="shared" si="7"/>
        <v>41.174453185435844</v>
      </c>
      <c r="T11" s="6">
        <f t="shared" si="8"/>
        <v>4.846503029147927</v>
      </c>
      <c r="U11" s="112">
        <f>EXP(-((J11/$K$42)^$K$43))</f>
        <v>7.5368919207682086E-2</v>
      </c>
      <c r="X11" s="34">
        <f t="shared" si="52"/>
        <v>40</v>
      </c>
      <c r="Y11" s="112">
        <f t="shared" si="9"/>
        <v>0.96524307215267346</v>
      </c>
      <c r="AZ11" s="34">
        <f t="shared" si="53"/>
        <v>40</v>
      </c>
      <c r="BA11" s="112">
        <f t="shared" si="44"/>
        <v>0.99934419996866608</v>
      </c>
      <c r="BN11" s="6">
        <v>597</v>
      </c>
      <c r="BO11" s="6">
        <v>5</v>
      </c>
      <c r="BP11" s="83">
        <f t="shared" si="45"/>
        <v>0.11904761904761904</v>
      </c>
      <c r="BQ11" s="88">
        <f t="shared" si="18"/>
        <v>0.88095238095238093</v>
      </c>
      <c r="BR11" s="6">
        <f t="shared" si="19"/>
        <v>0.75529144987959329</v>
      </c>
      <c r="BS11" s="6">
        <f t="shared" si="20"/>
        <v>6.3919171133926023</v>
      </c>
      <c r="BT11" s="6">
        <f t="shared" si="21"/>
        <v>8.4</v>
      </c>
      <c r="BU11" s="6">
        <f t="shared" si="22"/>
        <v>0.75529144987959329</v>
      </c>
      <c r="BV11" s="6">
        <f t="shared" si="23"/>
        <v>6.3919171133926023</v>
      </c>
      <c r="BW11" s="6">
        <f t="shared" si="24"/>
        <v>40.856604384481216</v>
      </c>
      <c r="BX11" s="6">
        <f t="shared" si="25"/>
        <v>4.8277603440844832</v>
      </c>
      <c r="BY11" s="112">
        <f t="shared" si="46"/>
        <v>0.18061482679832919</v>
      </c>
      <c r="CB11" s="34">
        <f t="shared" si="54"/>
        <v>40</v>
      </c>
      <c r="CC11" s="112">
        <f t="shared" si="47"/>
        <v>0.84634676831388334</v>
      </c>
      <c r="CP11" s="6">
        <v>360</v>
      </c>
      <c r="CQ11" s="6">
        <v>5</v>
      </c>
      <c r="CR11" s="83">
        <f t="shared" si="48"/>
        <v>0.26</v>
      </c>
      <c r="CS11" s="88">
        <f t="shared" si="26"/>
        <v>0.74</v>
      </c>
      <c r="CT11" s="6">
        <f t="shared" si="27"/>
        <v>0.29793457148413716</v>
      </c>
      <c r="CU11" s="6">
        <f t="shared" si="28"/>
        <v>5.8861040314501558</v>
      </c>
      <c r="CV11" s="6">
        <f t="shared" si="29"/>
        <v>3.8461538461538458</v>
      </c>
      <c r="CW11" s="6">
        <f t="shared" si="30"/>
        <v>0.29793457148413716</v>
      </c>
      <c r="CX11" s="6">
        <f t="shared" si="31"/>
        <v>5.8861040314501558</v>
      </c>
      <c r="CY11" s="6">
        <f t="shared" si="32"/>
        <v>34.646220669053776</v>
      </c>
      <c r="CZ11" s="6">
        <f t="shared" si="33"/>
        <v>1.7536738823211544</v>
      </c>
      <c r="DA11" s="112">
        <f t="shared" si="49"/>
        <v>0.22311990366544848</v>
      </c>
      <c r="DD11" s="34">
        <f t="shared" si="55"/>
        <v>40</v>
      </c>
      <c r="DE11" s="112">
        <f t="shared" si="50"/>
        <v>0.96169552523598933</v>
      </c>
      <c r="DS11" s="80" t="s">
        <v>285</v>
      </c>
      <c r="DT11" s="81">
        <f>COUNT(DS7:DS9)</f>
        <v>3</v>
      </c>
      <c r="DU11" s="114"/>
      <c r="DV11" s="114"/>
      <c r="DX11" s="80" t="s">
        <v>325</v>
      </c>
      <c r="DY11">
        <f>SUM(DY7:DY9)</f>
        <v>-1.4103223500192108</v>
      </c>
      <c r="DZ11">
        <f>SUM(DZ7:DZ9)</f>
        <v>15.826271679339204</v>
      </c>
      <c r="EA11">
        <f>SUM(EA7:EA9)</f>
        <v>94.203215341662997</v>
      </c>
      <c r="EB11">
        <f>SUM(EB7:EB9)</f>
        <v>-2.8657972904985192</v>
      </c>
      <c r="EF11" s="34">
        <f t="shared" si="56"/>
        <v>40</v>
      </c>
      <c r="EG11" s="112">
        <f t="shared" si="51"/>
        <v>0.72802669229532069</v>
      </c>
    </row>
    <row r="12" spans="2:137" x14ac:dyDescent="0.25">
      <c r="B12" s="6">
        <f>DAYS360("31-12-2009",C12)</f>
        <v>575</v>
      </c>
      <c r="C12" s="5">
        <v>40760</v>
      </c>
      <c r="D12" s="6" t="s">
        <v>381</v>
      </c>
      <c r="E12" s="33">
        <f>5*24*60</f>
        <v>7200</v>
      </c>
      <c r="F12" s="79" t="s">
        <v>279</v>
      </c>
      <c r="G12" s="79" t="s">
        <v>279</v>
      </c>
      <c r="H12" s="79" t="s">
        <v>279</v>
      </c>
      <c r="X12" s="34">
        <f t="shared" si="52"/>
        <v>50</v>
      </c>
      <c r="Y12" s="112">
        <f t="shared" si="9"/>
        <v>0.95098852147837443</v>
      </c>
      <c r="AL12" t="s">
        <v>294</v>
      </c>
      <c r="AO12"/>
      <c r="AP12"/>
      <c r="AQ12"/>
      <c r="AR12"/>
      <c r="AS12"/>
      <c r="AT12"/>
      <c r="AU12"/>
      <c r="AV12"/>
      <c r="AW12"/>
      <c r="AZ12" s="34">
        <f t="shared" si="53"/>
        <v>50</v>
      </c>
      <c r="BA12" s="112">
        <f t="shared" si="44"/>
        <v>0.99855863700282799</v>
      </c>
      <c r="CB12" s="34">
        <f t="shared" si="54"/>
        <v>50</v>
      </c>
      <c r="CC12" s="112">
        <f t="shared" si="47"/>
        <v>0.81695022835079789</v>
      </c>
      <c r="CP12" s="6">
        <v>420</v>
      </c>
      <c r="CQ12" s="6">
        <v>6</v>
      </c>
      <c r="CR12" s="83">
        <f t="shared" si="48"/>
        <v>0.1</v>
      </c>
      <c r="CS12" s="88">
        <f t="shared" si="26"/>
        <v>0.9</v>
      </c>
      <c r="CT12" s="6">
        <f t="shared" si="27"/>
        <v>0.83403244524795594</v>
      </c>
      <c r="CU12" s="6">
        <f t="shared" si="28"/>
        <v>6.0402547112774139</v>
      </c>
      <c r="CV12" s="6">
        <f t="shared" si="29"/>
        <v>10</v>
      </c>
      <c r="CW12" s="6">
        <f t="shared" si="30"/>
        <v>0.83403244524795594</v>
      </c>
      <c r="CX12" s="6">
        <f t="shared" si="31"/>
        <v>6.0402547112774139</v>
      </c>
      <c r="CY12" s="6">
        <f t="shared" si="32"/>
        <v>36.484676977108997</v>
      </c>
      <c r="CZ12" s="6">
        <f t="shared" si="33"/>
        <v>5.0377684067671877</v>
      </c>
      <c r="DA12" s="112">
        <f t="shared" si="49"/>
        <v>0.14405099409560743</v>
      </c>
      <c r="DD12" s="34">
        <f t="shared" si="55"/>
        <v>50</v>
      </c>
      <c r="DE12" s="112">
        <f t="shared" si="50"/>
        <v>0.94499737775354486</v>
      </c>
      <c r="DU12" s="60"/>
      <c r="DV12" s="60"/>
      <c r="DW12" s="60"/>
      <c r="DX12" s="60"/>
      <c r="DY12" s="60"/>
      <c r="DZ12" s="60"/>
      <c r="EA12" s="60"/>
      <c r="EB12" s="60"/>
      <c r="EC12" s="60"/>
      <c r="EF12" s="34">
        <f t="shared" si="56"/>
        <v>50</v>
      </c>
      <c r="EG12" s="112">
        <f t="shared" si="51"/>
        <v>0.70528847919630533</v>
      </c>
    </row>
    <row r="13" spans="2:137" x14ac:dyDescent="0.25">
      <c r="B13" s="6">
        <f>DAYS360("31-12-2009",C13)</f>
        <v>912</v>
      </c>
      <c r="C13" s="5">
        <v>41102</v>
      </c>
      <c r="D13" s="6" t="s">
        <v>381</v>
      </c>
      <c r="E13" s="33">
        <v>120</v>
      </c>
      <c r="F13" s="6">
        <f t="shared" si="42"/>
        <v>342</v>
      </c>
      <c r="G13" s="6">
        <v>342</v>
      </c>
      <c r="H13" s="6">
        <v>232</v>
      </c>
      <c r="K13" s="80" t="s">
        <v>285</v>
      </c>
      <c r="L13" s="81">
        <f>COUNT(K7:K11)</f>
        <v>5</v>
      </c>
      <c r="M13" s="114"/>
      <c r="N13" s="114"/>
      <c r="O13"/>
      <c r="P13" s="80" t="s">
        <v>325</v>
      </c>
      <c r="Q13">
        <f>SUM(Q7:Q11)</f>
        <v>-2.510663135828417</v>
      </c>
      <c r="R13">
        <f>SUM(R7:R11)</f>
        <v>27.469030246982257</v>
      </c>
      <c r="S13">
        <f>SUM(S7:S11)</f>
        <v>152.75483078274888</v>
      </c>
      <c r="T13">
        <f>SUM(T7:T11)</f>
        <v>-10.889960661260726</v>
      </c>
      <c r="U13" s="114"/>
      <c r="X13" s="34">
        <f t="shared" si="52"/>
        <v>60</v>
      </c>
      <c r="Y13" s="112">
        <f t="shared" si="9"/>
        <v>0.93524396484457806</v>
      </c>
      <c r="AO13"/>
      <c r="AP13"/>
      <c r="AQ13"/>
      <c r="AR13"/>
      <c r="AS13"/>
      <c r="AT13"/>
      <c r="AU13"/>
      <c r="AV13"/>
      <c r="AW13"/>
      <c r="AZ13" s="34">
        <f t="shared" si="53"/>
        <v>60</v>
      </c>
      <c r="BA13" s="112">
        <f t="shared" si="44"/>
        <v>0.99725800995385461</v>
      </c>
      <c r="BO13" s="80" t="s">
        <v>285</v>
      </c>
      <c r="BP13" s="81">
        <f>COUNT(BO7:BO11)</f>
        <v>5</v>
      </c>
      <c r="BQ13" s="114"/>
      <c r="BR13" s="114"/>
      <c r="BS13"/>
      <c r="BT13" s="80" t="s">
        <v>325</v>
      </c>
      <c r="BU13">
        <f>SUM(BU7:BU11)</f>
        <v>-2.510663135828417</v>
      </c>
      <c r="BV13">
        <f>SUM(BV7:BV11)</f>
        <v>25.925417856795121</v>
      </c>
      <c r="BW13">
        <f>SUM(BW7:BW11)</f>
        <v>140.52620380832809</v>
      </c>
      <c r="BX13">
        <f>SUM(BX7:BX11)</f>
        <v>-7.7634666767613627</v>
      </c>
      <c r="BY13" s="114"/>
      <c r="CB13" s="34">
        <f t="shared" si="54"/>
        <v>60</v>
      </c>
      <c r="CC13" s="112">
        <f t="shared" si="47"/>
        <v>0.7893432743545209</v>
      </c>
      <c r="DD13" s="34">
        <f t="shared" si="55"/>
        <v>60</v>
      </c>
      <c r="DE13" s="112">
        <f t="shared" si="50"/>
        <v>0.92628444932184661</v>
      </c>
      <c r="DR13" t="s">
        <v>294</v>
      </c>
      <c r="EF13" s="34">
        <f t="shared" si="56"/>
        <v>60</v>
      </c>
      <c r="EG13" s="112">
        <f t="shared" si="51"/>
        <v>0.6856314682681065</v>
      </c>
    </row>
    <row r="14" spans="2:137" x14ac:dyDescent="0.25">
      <c r="B14" s="33">
        <v>1141</v>
      </c>
      <c r="C14" s="5">
        <v>41334</v>
      </c>
      <c r="D14" s="6" t="s">
        <v>381</v>
      </c>
      <c r="E14" s="33">
        <f>9*60+30</f>
        <v>570</v>
      </c>
      <c r="F14" s="6">
        <f t="shared" si="42"/>
        <v>232</v>
      </c>
      <c r="G14" s="6">
        <v>232</v>
      </c>
      <c r="H14" s="6">
        <v>342</v>
      </c>
      <c r="X14" s="34">
        <f t="shared" si="52"/>
        <v>70</v>
      </c>
      <c r="Y14" s="112">
        <f t="shared" si="9"/>
        <v>0.9182165751339415</v>
      </c>
      <c r="AL14" t="s">
        <v>288</v>
      </c>
      <c r="AO14"/>
      <c r="AP14"/>
      <c r="AQ14"/>
      <c r="AR14"/>
      <c r="AS14"/>
      <c r="AT14"/>
      <c r="AU14"/>
      <c r="AV14"/>
      <c r="AW14"/>
      <c r="AZ14" s="34">
        <f t="shared" si="53"/>
        <v>70</v>
      </c>
      <c r="BA14" s="112">
        <f t="shared" si="44"/>
        <v>0.99527923369197935</v>
      </c>
      <c r="CB14" s="34">
        <f t="shared" si="54"/>
        <v>70</v>
      </c>
      <c r="CC14" s="112">
        <f t="shared" si="47"/>
        <v>0.76327159234292552</v>
      </c>
      <c r="CQ14" s="80" t="s">
        <v>285</v>
      </c>
      <c r="CR14" s="81">
        <f>COUNT(CQ7:CQ12)</f>
        <v>6</v>
      </c>
      <c r="CS14" s="114"/>
      <c r="CT14" s="114"/>
      <c r="CU14"/>
      <c r="CV14" s="80" t="s">
        <v>325</v>
      </c>
      <c r="CW14">
        <f>SUM(CW7:CW12)</f>
        <v>-3.0683055582143735</v>
      </c>
      <c r="CX14">
        <f>SUM(CX7:CX12)</f>
        <v>32.003350727326691</v>
      </c>
      <c r="CY14">
        <f>SUM(CY7:CY12)</f>
        <v>172.85314943563341</v>
      </c>
      <c r="CZ14">
        <f>SUM(CZ7:CZ12)</f>
        <v>-12.794972844360512</v>
      </c>
      <c r="DA14" s="114"/>
      <c r="DD14" s="34">
        <f t="shared" si="55"/>
        <v>70</v>
      </c>
      <c r="DE14" s="112">
        <f t="shared" si="50"/>
        <v>0.90582474926766465</v>
      </c>
      <c r="EF14" s="34">
        <f t="shared" si="56"/>
        <v>70</v>
      </c>
      <c r="EG14" s="112">
        <f t="shared" si="51"/>
        <v>0.66825047689022277</v>
      </c>
    </row>
    <row r="15" spans="2:137" x14ac:dyDescent="0.25">
      <c r="B15" s="6">
        <f t="shared" ref="B15:B31" si="57">DAYS360("31-12-2009",C15)</f>
        <v>575</v>
      </c>
      <c r="C15" s="5">
        <v>40760</v>
      </c>
      <c r="D15" s="6" t="s">
        <v>383</v>
      </c>
      <c r="E15" s="33">
        <f>5*24*60</f>
        <v>7200</v>
      </c>
      <c r="F15" s="79" t="s">
        <v>279</v>
      </c>
      <c r="G15" s="79" t="s">
        <v>279</v>
      </c>
      <c r="H15" s="79" t="s">
        <v>279</v>
      </c>
      <c r="J15" t="s">
        <v>294</v>
      </c>
      <c r="M15"/>
      <c r="N15"/>
      <c r="O15"/>
      <c r="P15"/>
      <c r="Q15"/>
      <c r="R15"/>
      <c r="S15"/>
      <c r="T15"/>
      <c r="U15"/>
      <c r="X15" s="34">
        <f t="shared" si="52"/>
        <v>80</v>
      </c>
      <c r="Y15" s="112">
        <f t="shared" si="9"/>
        <v>0.90008311464512514</v>
      </c>
      <c r="AO15"/>
      <c r="AP15"/>
      <c r="AQ15"/>
      <c r="AR15"/>
      <c r="AS15"/>
      <c r="AT15"/>
      <c r="AU15"/>
      <c r="AV15"/>
      <c r="AW15"/>
      <c r="AZ15" s="34">
        <f t="shared" si="53"/>
        <v>80</v>
      </c>
      <c r="BA15" s="112">
        <f t="shared" si="44"/>
        <v>0.9924464025766534</v>
      </c>
      <c r="BN15" t="s">
        <v>294</v>
      </c>
      <c r="BQ15"/>
      <c r="BR15"/>
      <c r="BS15"/>
      <c r="BT15"/>
      <c r="BU15"/>
      <c r="BV15"/>
      <c r="BW15"/>
      <c r="BX15"/>
      <c r="BY15"/>
      <c r="CB15" s="34">
        <f t="shared" si="54"/>
        <v>80</v>
      </c>
      <c r="CC15" s="112">
        <f t="shared" si="47"/>
        <v>0.73854935132020438</v>
      </c>
      <c r="DD15" s="34">
        <f t="shared" si="55"/>
        <v>80</v>
      </c>
      <c r="DE15" s="112">
        <f t="shared" si="50"/>
        <v>0.88385703302510699</v>
      </c>
      <c r="DR15" t="s">
        <v>288</v>
      </c>
      <c r="EF15" s="34">
        <f t="shared" si="56"/>
        <v>80</v>
      </c>
      <c r="EG15" s="112">
        <f t="shared" si="51"/>
        <v>0.65263147842900504</v>
      </c>
    </row>
    <row r="16" spans="2:137" x14ac:dyDescent="0.25">
      <c r="B16" s="6">
        <f t="shared" si="57"/>
        <v>599</v>
      </c>
      <c r="C16" s="5">
        <v>40784</v>
      </c>
      <c r="D16" s="6" t="s">
        <v>383</v>
      </c>
      <c r="E16" s="33">
        <v>180</v>
      </c>
      <c r="F16" s="6">
        <f t="shared" si="42"/>
        <v>24</v>
      </c>
      <c r="G16" s="6">
        <v>24</v>
      </c>
      <c r="H16" s="6">
        <v>24</v>
      </c>
      <c r="M16"/>
      <c r="N16"/>
      <c r="O16"/>
      <c r="P16"/>
      <c r="Q16"/>
      <c r="R16"/>
      <c r="S16"/>
      <c r="T16"/>
      <c r="U16"/>
      <c r="X16" s="34">
        <f t="shared" si="52"/>
        <v>90</v>
      </c>
      <c r="Y16" s="112">
        <f t="shared" si="9"/>
        <v>0.88099886359054658</v>
      </c>
      <c r="AL16" t="s">
        <v>289</v>
      </c>
      <c r="AO16"/>
      <c r="AP16"/>
      <c r="AQ16"/>
      <c r="AR16"/>
      <c r="AS16"/>
      <c r="AT16"/>
      <c r="AU16"/>
      <c r="AV16"/>
      <c r="AW16"/>
      <c r="AZ16" s="34">
        <f t="shared" si="53"/>
        <v>90</v>
      </c>
      <c r="BA16" s="112">
        <f t="shared" si="44"/>
        <v>0.98857340287643458</v>
      </c>
      <c r="BQ16"/>
      <c r="BR16"/>
      <c r="BS16"/>
      <c r="BT16"/>
      <c r="BU16"/>
      <c r="BV16"/>
      <c r="BW16"/>
      <c r="BX16"/>
      <c r="BY16"/>
      <c r="CB16" s="34">
        <f t="shared" si="54"/>
        <v>90</v>
      </c>
      <c r="CC16" s="112">
        <f t="shared" si="47"/>
        <v>0.71503355040059624</v>
      </c>
      <c r="CP16" t="s">
        <v>294</v>
      </c>
      <c r="CS16"/>
      <c r="CT16"/>
      <c r="CU16"/>
      <c r="CV16"/>
      <c r="CW16"/>
      <c r="CX16"/>
      <c r="CY16"/>
      <c r="CZ16"/>
      <c r="DA16"/>
      <c r="DD16" s="34">
        <f t="shared" si="55"/>
        <v>90</v>
      </c>
      <c r="DE16" s="112">
        <f t="shared" si="50"/>
        <v>0.86059875073091952</v>
      </c>
      <c r="EF16" s="34">
        <f t="shared" si="56"/>
        <v>90</v>
      </c>
      <c r="EG16" s="112">
        <f t="shared" si="51"/>
        <v>0.63842375458999212</v>
      </c>
    </row>
    <row r="17" spans="2:137" x14ac:dyDescent="0.25">
      <c r="B17" s="6">
        <f t="shared" si="57"/>
        <v>1187</v>
      </c>
      <c r="C17" s="5">
        <v>41381</v>
      </c>
      <c r="D17" s="6" t="s">
        <v>383</v>
      </c>
      <c r="E17" s="33">
        <v>360</v>
      </c>
      <c r="F17" s="6">
        <f t="shared" si="42"/>
        <v>597</v>
      </c>
      <c r="G17" s="6">
        <v>597</v>
      </c>
      <c r="H17" s="6">
        <v>148</v>
      </c>
      <c r="J17" t="s">
        <v>288</v>
      </c>
      <c r="M17"/>
      <c r="N17"/>
      <c r="O17"/>
      <c r="P17"/>
      <c r="Q17"/>
      <c r="R17"/>
      <c r="S17"/>
      <c r="T17"/>
      <c r="U17"/>
      <c r="X17" s="34">
        <f t="shared" si="52"/>
        <v>100</v>
      </c>
      <c r="Y17" s="112">
        <f t="shared" si="9"/>
        <v>0.86110287350305992</v>
      </c>
      <c r="AO17"/>
      <c r="AP17"/>
      <c r="AQ17"/>
      <c r="AR17"/>
      <c r="AS17"/>
      <c r="AT17"/>
      <c r="AU17"/>
      <c r="AV17"/>
      <c r="AW17"/>
      <c r="AZ17" s="34">
        <f t="shared" si="53"/>
        <v>100</v>
      </c>
      <c r="BA17" s="112">
        <f t="shared" si="44"/>
        <v>0.98346680403800391</v>
      </c>
      <c r="BN17" t="s">
        <v>288</v>
      </c>
      <c r="BQ17"/>
      <c r="BR17"/>
      <c r="BS17"/>
      <c r="BT17"/>
      <c r="BU17"/>
      <c r="BV17"/>
      <c r="BW17"/>
      <c r="BX17"/>
      <c r="BY17"/>
      <c r="CB17" s="34">
        <f t="shared" si="54"/>
        <v>100</v>
      </c>
      <c r="CC17" s="112">
        <f t="shared" si="47"/>
        <v>0.69260993126407433</v>
      </c>
      <c r="CS17"/>
      <c r="CT17"/>
      <c r="CU17"/>
      <c r="CV17"/>
      <c r="CW17"/>
      <c r="CX17"/>
      <c r="CY17"/>
      <c r="CZ17"/>
      <c r="DA17"/>
      <c r="DD17" s="34">
        <f t="shared" si="55"/>
        <v>100</v>
      </c>
      <c r="DE17" s="112">
        <f t="shared" si="50"/>
        <v>0.83625052404073552</v>
      </c>
      <c r="DR17" t="s">
        <v>289</v>
      </c>
      <c r="EF17" s="34">
        <f t="shared" si="56"/>
        <v>100</v>
      </c>
      <c r="EG17" s="112">
        <f t="shared" si="51"/>
        <v>0.62537600586090425</v>
      </c>
    </row>
    <row r="18" spans="2:137" x14ac:dyDescent="0.25">
      <c r="B18" s="6">
        <f t="shared" si="57"/>
        <v>1419</v>
      </c>
      <c r="C18" s="5">
        <v>41617</v>
      </c>
      <c r="D18" s="6" t="s">
        <v>383</v>
      </c>
      <c r="E18" s="33">
        <f>11*60</f>
        <v>660</v>
      </c>
      <c r="F18" s="6">
        <f t="shared" si="42"/>
        <v>236</v>
      </c>
      <c r="G18" s="6">
        <v>236</v>
      </c>
      <c r="H18" s="6">
        <v>236</v>
      </c>
      <c r="M18"/>
      <c r="N18"/>
      <c r="O18"/>
      <c r="P18"/>
      <c r="Q18"/>
      <c r="R18"/>
      <c r="S18"/>
      <c r="T18"/>
      <c r="U18"/>
      <c r="X18" s="34">
        <f t="shared" si="52"/>
        <v>110</v>
      </c>
      <c r="Y18" s="112">
        <f t="shared" si="9"/>
        <v>0.840521271312475</v>
      </c>
      <c r="AL18" t="s">
        <v>290</v>
      </c>
      <c r="AO18"/>
      <c r="AP18"/>
      <c r="AQ18"/>
      <c r="AR18"/>
      <c r="AS18"/>
      <c r="AT18"/>
      <c r="AU18"/>
      <c r="AV18"/>
      <c r="AW18"/>
      <c r="AZ18" s="34">
        <f t="shared" si="53"/>
        <v>110</v>
      </c>
      <c r="BA18" s="112">
        <f t="shared" si="44"/>
        <v>0.97692913873591702</v>
      </c>
      <c r="BQ18"/>
      <c r="BR18"/>
      <c r="BS18"/>
      <c r="BT18"/>
      <c r="BU18"/>
      <c r="BV18"/>
      <c r="BW18"/>
      <c r="BX18"/>
      <c r="BY18"/>
      <c r="CB18" s="34">
        <f t="shared" si="54"/>
        <v>110</v>
      </c>
      <c r="CC18" s="112">
        <f t="shared" si="47"/>
        <v>0.67118456575717755</v>
      </c>
      <c r="CP18" t="s">
        <v>288</v>
      </c>
      <c r="CS18"/>
      <c r="CT18"/>
      <c r="CU18"/>
      <c r="CV18"/>
      <c r="CW18"/>
      <c r="CX18"/>
      <c r="CY18"/>
      <c r="CZ18"/>
      <c r="DA18"/>
      <c r="DD18" s="34">
        <f t="shared" si="55"/>
        <v>110</v>
      </c>
      <c r="DE18" s="112">
        <f t="shared" si="50"/>
        <v>0.81099879831380972</v>
      </c>
      <c r="EF18" s="34">
        <f t="shared" si="56"/>
        <v>110</v>
      </c>
      <c r="EG18" s="112">
        <f t="shared" si="51"/>
        <v>0.61330126585401612</v>
      </c>
    </row>
    <row r="19" spans="2:137" x14ac:dyDescent="0.25">
      <c r="B19" s="6">
        <f t="shared" si="57"/>
        <v>1566</v>
      </c>
      <c r="C19" s="5">
        <v>41765</v>
      </c>
      <c r="D19" s="6" t="s">
        <v>383</v>
      </c>
      <c r="E19" s="6">
        <v>360</v>
      </c>
      <c r="F19" s="6">
        <f t="shared" si="42"/>
        <v>148</v>
      </c>
      <c r="G19" s="6">
        <v>148</v>
      </c>
      <c r="H19" s="6">
        <v>363</v>
      </c>
      <c r="J19" t="s">
        <v>289</v>
      </c>
      <c r="M19"/>
      <c r="N19"/>
      <c r="O19"/>
      <c r="P19"/>
      <c r="Q19"/>
      <c r="R19"/>
      <c r="S19"/>
      <c r="T19"/>
      <c r="U19"/>
      <c r="X19" s="34">
        <f t="shared" si="52"/>
        <v>120</v>
      </c>
      <c r="Y19" s="112">
        <f t="shared" si="9"/>
        <v>0.81936944716418425</v>
      </c>
      <c r="AL19" t="s">
        <v>291</v>
      </c>
      <c r="AO19"/>
      <c r="AP19"/>
      <c r="AQ19"/>
      <c r="AR19"/>
      <c r="AS19"/>
      <c r="AT19"/>
      <c r="AU19"/>
      <c r="AV19"/>
      <c r="AW19"/>
      <c r="AZ19" s="34">
        <f t="shared" si="53"/>
        <v>120</v>
      </c>
      <c r="BA19" s="112">
        <f t="shared" si="44"/>
        <v>0.96876264350163033</v>
      </c>
      <c r="BN19" t="s">
        <v>289</v>
      </c>
      <c r="BQ19"/>
      <c r="BR19"/>
      <c r="BS19"/>
      <c r="BT19"/>
      <c r="BU19"/>
      <c r="BV19"/>
      <c r="BW19"/>
      <c r="BX19"/>
      <c r="BY19"/>
      <c r="CB19" s="34">
        <f t="shared" si="54"/>
        <v>120</v>
      </c>
      <c r="CC19" s="112">
        <f t="shared" si="47"/>
        <v>0.65067850451366904</v>
      </c>
      <c r="CS19"/>
      <c r="CT19"/>
      <c r="CU19"/>
      <c r="CV19"/>
      <c r="CW19"/>
      <c r="CX19"/>
      <c r="CY19"/>
      <c r="CZ19"/>
      <c r="DA19"/>
      <c r="DD19" s="34">
        <f t="shared" si="55"/>
        <v>120</v>
      </c>
      <c r="DE19" s="112">
        <f t="shared" si="50"/>
        <v>0.7850174718183206</v>
      </c>
      <c r="DR19" t="s">
        <v>290</v>
      </c>
      <c r="EF19" s="34">
        <f t="shared" si="56"/>
        <v>120</v>
      </c>
      <c r="EG19" s="112">
        <f t="shared" si="51"/>
        <v>0.60205621664349418</v>
      </c>
    </row>
    <row r="20" spans="2:137" x14ac:dyDescent="0.25">
      <c r="B20" s="6">
        <f t="shared" si="57"/>
        <v>1924</v>
      </c>
      <c r="C20" s="5">
        <v>42128</v>
      </c>
      <c r="D20" s="6" t="s">
        <v>383</v>
      </c>
      <c r="E20" s="30">
        <v>360</v>
      </c>
      <c r="F20" s="6">
        <f t="shared" si="42"/>
        <v>363</v>
      </c>
      <c r="G20" s="6">
        <v>363</v>
      </c>
      <c r="H20" s="6">
        <v>597</v>
      </c>
      <c r="M20"/>
      <c r="N20"/>
      <c r="O20"/>
      <c r="P20"/>
      <c r="Q20"/>
      <c r="R20"/>
      <c r="S20"/>
      <c r="T20"/>
      <c r="U20"/>
      <c r="X20" s="34">
        <f t="shared" si="52"/>
        <v>130</v>
      </c>
      <c r="Y20" s="112">
        <f t="shared" si="9"/>
        <v>0.79775356562073829</v>
      </c>
      <c r="AO20"/>
      <c r="AP20"/>
      <c r="AQ20"/>
      <c r="AR20"/>
      <c r="AS20"/>
      <c r="AT20"/>
      <c r="AU20"/>
      <c r="AV20"/>
      <c r="AW20"/>
      <c r="AZ20" s="34">
        <f t="shared" si="53"/>
        <v>130</v>
      </c>
      <c r="BA20" s="112">
        <f t="shared" si="44"/>
        <v>0.9587734979533965</v>
      </c>
      <c r="BQ20"/>
      <c r="BR20"/>
      <c r="BS20"/>
      <c r="BT20"/>
      <c r="BU20"/>
      <c r="BV20"/>
      <c r="BW20"/>
      <c r="BX20"/>
      <c r="BY20"/>
      <c r="CB20" s="34">
        <f t="shared" si="54"/>
        <v>130</v>
      </c>
      <c r="CC20" s="112">
        <f t="shared" si="47"/>
        <v>0.63102419978676394</v>
      </c>
      <c r="CP20" t="s">
        <v>289</v>
      </c>
      <c r="CS20"/>
      <c r="CT20"/>
      <c r="CU20"/>
      <c r="CV20"/>
      <c r="CW20"/>
      <c r="CX20"/>
      <c r="CY20"/>
      <c r="CZ20"/>
      <c r="DA20"/>
      <c r="DD20" s="34">
        <f t="shared" si="55"/>
        <v>130</v>
      </c>
      <c r="DE20" s="112">
        <f t="shared" si="50"/>
        <v>0.75846892734806304</v>
      </c>
      <c r="DR20" t="s">
        <v>291</v>
      </c>
      <c r="EF20" s="34">
        <f t="shared" si="56"/>
        <v>130</v>
      </c>
      <c r="EG20" s="112">
        <f t="shared" si="51"/>
        <v>0.59152829807352703</v>
      </c>
    </row>
    <row r="21" spans="2:137" x14ac:dyDescent="0.25">
      <c r="B21" s="6">
        <f t="shared" si="57"/>
        <v>220</v>
      </c>
      <c r="C21" s="5">
        <v>40400</v>
      </c>
      <c r="D21" s="6" t="s">
        <v>379</v>
      </c>
      <c r="E21" s="34">
        <v>180</v>
      </c>
      <c r="F21" s="79" t="s">
        <v>279</v>
      </c>
      <c r="G21" s="79" t="s">
        <v>279</v>
      </c>
      <c r="H21" s="79" t="s">
        <v>279</v>
      </c>
      <c r="J21" t="s">
        <v>290</v>
      </c>
      <c r="M21"/>
      <c r="N21"/>
      <c r="O21"/>
      <c r="P21"/>
      <c r="Q21"/>
      <c r="R21"/>
      <c r="S21"/>
      <c r="T21"/>
      <c r="U21"/>
      <c r="X21" s="34">
        <f t="shared" si="52"/>
        <v>140</v>
      </c>
      <c r="Y21" s="112">
        <f t="shared" si="9"/>
        <v>0.77577164860319092</v>
      </c>
      <c r="AL21" s="106" t="s">
        <v>315</v>
      </c>
      <c r="AO21"/>
      <c r="AP21"/>
      <c r="AQ21"/>
      <c r="AR21"/>
      <c r="AS21"/>
      <c r="AT21"/>
      <c r="AU21"/>
      <c r="AV21"/>
      <c r="AW21"/>
      <c r="AZ21" s="34">
        <f t="shared" si="53"/>
        <v>140</v>
      </c>
      <c r="BA21" s="112">
        <f t="shared" si="44"/>
        <v>0.94677656637215257</v>
      </c>
      <c r="BN21" t="s">
        <v>290</v>
      </c>
      <c r="BQ21"/>
      <c r="BR21"/>
      <c r="BS21"/>
      <c r="BT21"/>
      <c r="BU21"/>
      <c r="BV21"/>
      <c r="BW21"/>
      <c r="BX21"/>
      <c r="BY21"/>
      <c r="CB21" s="34">
        <f t="shared" si="54"/>
        <v>140</v>
      </c>
      <c r="CC21" s="112">
        <f t="shared" si="47"/>
        <v>0.6121630167376485</v>
      </c>
      <c r="CS21"/>
      <c r="CT21"/>
      <c r="CU21"/>
      <c r="CV21"/>
      <c r="CW21"/>
      <c r="CX21"/>
      <c r="CY21"/>
      <c r="CZ21"/>
      <c r="DA21"/>
      <c r="DD21" s="34">
        <f t="shared" si="55"/>
        <v>140</v>
      </c>
      <c r="DE21" s="112">
        <f t="shared" si="50"/>
        <v>0.73150470710847748</v>
      </c>
      <c r="EF21" s="34">
        <f t="shared" si="56"/>
        <v>140</v>
      </c>
      <c r="EG21" s="112">
        <f t="shared" si="51"/>
        <v>0.58162730699106979</v>
      </c>
    </row>
    <row r="22" spans="2:137" x14ac:dyDescent="0.25">
      <c r="B22" s="6">
        <f t="shared" si="57"/>
        <v>575</v>
      </c>
      <c r="C22" s="5">
        <v>40760</v>
      </c>
      <c r="D22" s="6" t="s">
        <v>379</v>
      </c>
      <c r="E22" s="33">
        <f>5*24*60</f>
        <v>7200</v>
      </c>
      <c r="F22" s="6">
        <f t="shared" si="42"/>
        <v>360</v>
      </c>
      <c r="G22" s="6">
        <v>360</v>
      </c>
      <c r="H22" s="6">
        <v>69</v>
      </c>
      <c r="J22" t="s">
        <v>291</v>
      </c>
      <c r="M22"/>
      <c r="N22"/>
      <c r="O22"/>
      <c r="P22"/>
      <c r="Q22"/>
      <c r="R22"/>
      <c r="S22"/>
      <c r="T22"/>
      <c r="U22"/>
      <c r="X22" s="34">
        <f t="shared" si="52"/>
        <v>150</v>
      </c>
      <c r="Y22" s="112">
        <f t="shared" si="9"/>
        <v>0.75351437808484056</v>
      </c>
      <c r="AO22"/>
      <c r="AP22"/>
      <c r="AQ22"/>
      <c r="AR22"/>
      <c r="AS22"/>
      <c r="AT22"/>
      <c r="AU22"/>
      <c r="AV22"/>
      <c r="AW22"/>
      <c r="AZ22" s="34">
        <f t="shared" si="53"/>
        <v>150</v>
      </c>
      <c r="BA22" s="112">
        <f t="shared" si="44"/>
        <v>0.93260060842166337</v>
      </c>
      <c r="BN22" t="s">
        <v>291</v>
      </c>
      <c r="BQ22"/>
      <c r="BR22"/>
      <c r="BS22"/>
      <c r="BT22"/>
      <c r="BU22"/>
      <c r="BV22"/>
      <c r="BW22"/>
      <c r="BX22"/>
      <c r="BY22"/>
      <c r="CB22" s="34">
        <f t="shared" si="54"/>
        <v>150</v>
      </c>
      <c r="CC22" s="112">
        <f t="shared" si="47"/>
        <v>0.59404344396554487</v>
      </c>
      <c r="CP22" t="s">
        <v>290</v>
      </c>
      <c r="CS22"/>
      <c r="CT22"/>
      <c r="CU22"/>
      <c r="CV22"/>
      <c r="CW22"/>
      <c r="CX22"/>
      <c r="CY22"/>
      <c r="CZ22"/>
      <c r="DA22"/>
      <c r="DD22" s="34">
        <f t="shared" si="55"/>
        <v>150</v>
      </c>
      <c r="DE22" s="112">
        <f t="shared" si="50"/>
        <v>0.70426597411343594</v>
      </c>
      <c r="DR22" s="106" t="s">
        <v>315</v>
      </c>
      <c r="EF22" s="34">
        <f t="shared" si="56"/>
        <v>150</v>
      </c>
      <c r="EG22" s="112">
        <f t="shared" si="51"/>
        <v>0.57227971718238946</v>
      </c>
    </row>
    <row r="23" spans="2:137" x14ac:dyDescent="0.25">
      <c r="B23" s="6">
        <f t="shared" si="57"/>
        <v>747</v>
      </c>
      <c r="C23" s="5">
        <v>40935</v>
      </c>
      <c r="D23" s="6" t="s">
        <v>379</v>
      </c>
      <c r="E23" s="33">
        <v>240</v>
      </c>
      <c r="F23" s="6">
        <f t="shared" si="42"/>
        <v>175</v>
      </c>
      <c r="G23" s="6">
        <v>175</v>
      </c>
      <c r="H23" s="6">
        <v>165</v>
      </c>
      <c r="M23"/>
      <c r="N23"/>
      <c r="O23"/>
      <c r="P23"/>
      <c r="Q23"/>
      <c r="R23"/>
      <c r="S23"/>
      <c r="T23"/>
      <c r="U23"/>
      <c r="X23" s="34">
        <f t="shared" si="52"/>
        <v>160</v>
      </c>
      <c r="Y23" s="112">
        <f t="shared" si="9"/>
        <v>0.73106571061175774</v>
      </c>
      <c r="AL23" t="s">
        <v>316</v>
      </c>
      <c r="AO23"/>
      <c r="AP23"/>
      <c r="AQ23"/>
      <c r="AR23"/>
      <c r="AS23"/>
      <c r="AT23"/>
      <c r="AU23"/>
      <c r="AV23"/>
      <c r="AW23"/>
      <c r="AZ23" s="34">
        <f t="shared" si="53"/>
        <v>160</v>
      </c>
      <c r="BA23" s="112">
        <f t="shared" si="44"/>
        <v>0.91609388550434334</v>
      </c>
      <c r="BQ23"/>
      <c r="BR23"/>
      <c r="BS23"/>
      <c r="BT23"/>
      <c r="BU23"/>
      <c r="BV23"/>
      <c r="BW23"/>
      <c r="BX23"/>
      <c r="BY23"/>
      <c r="CB23" s="34">
        <f t="shared" si="54"/>
        <v>160</v>
      </c>
      <c r="CC23" s="112">
        <f t="shared" si="47"/>
        <v>0.57661977072721582</v>
      </c>
      <c r="CP23" t="s">
        <v>291</v>
      </c>
      <c r="CS23"/>
      <c r="CT23"/>
      <c r="CU23"/>
      <c r="CV23"/>
      <c r="CW23"/>
      <c r="CX23"/>
      <c r="CY23"/>
      <c r="CZ23"/>
      <c r="DA23"/>
      <c r="DD23" s="34">
        <f t="shared" si="55"/>
        <v>160</v>
      </c>
      <c r="DE23" s="112">
        <f t="shared" si="50"/>
        <v>0.67688384844902505</v>
      </c>
      <c r="EF23" s="34">
        <f t="shared" si="56"/>
        <v>160</v>
      </c>
      <c r="EG23" s="112">
        <f t="shared" si="51"/>
        <v>0.5634247184189598</v>
      </c>
    </row>
    <row r="24" spans="2:137" x14ac:dyDescent="0.25">
      <c r="B24" s="6">
        <f t="shared" si="57"/>
        <v>910</v>
      </c>
      <c r="C24" s="5">
        <v>41100</v>
      </c>
      <c r="D24" s="6" t="s">
        <v>379</v>
      </c>
      <c r="E24" s="33">
        <v>120</v>
      </c>
      <c r="F24" s="6">
        <f t="shared" si="42"/>
        <v>165</v>
      </c>
      <c r="G24" s="6">
        <v>165</v>
      </c>
      <c r="H24" s="6">
        <v>175</v>
      </c>
      <c r="J24" s="106" t="s">
        <v>315</v>
      </c>
      <c r="M24"/>
      <c r="N24"/>
      <c r="O24"/>
      <c r="P24"/>
      <c r="Q24"/>
      <c r="R24"/>
      <c r="S24"/>
      <c r="T24"/>
      <c r="U24"/>
      <c r="X24" s="34">
        <f t="shared" si="52"/>
        <v>170</v>
      </c>
      <c r="Y24" s="112">
        <f t="shared" si="9"/>
        <v>0.70850336294763794</v>
      </c>
      <c r="AO24"/>
      <c r="AP24"/>
      <c r="AQ24"/>
      <c r="AR24"/>
      <c r="AS24"/>
      <c r="AT24"/>
      <c r="AU24"/>
      <c r="AV24"/>
      <c r="AW24"/>
      <c r="AZ24" s="34">
        <f t="shared" si="53"/>
        <v>170</v>
      </c>
      <c r="BA24" s="112">
        <f t="shared" si="44"/>
        <v>0.89713004593687384</v>
      </c>
      <c r="BN24" s="106" t="s">
        <v>315</v>
      </c>
      <c r="BQ24"/>
      <c r="BR24"/>
      <c r="BS24"/>
      <c r="BT24"/>
      <c r="BU24"/>
      <c r="BV24"/>
      <c r="BW24"/>
      <c r="BX24"/>
      <c r="BY24"/>
      <c r="CB24" s="34">
        <f t="shared" si="54"/>
        <v>170</v>
      </c>
      <c r="CC24" s="112">
        <f t="shared" si="47"/>
        <v>0.55985108582774257</v>
      </c>
      <c r="CS24"/>
      <c r="CT24"/>
      <c r="CU24"/>
      <c r="CV24"/>
      <c r="CW24"/>
      <c r="CX24"/>
      <c r="CY24"/>
      <c r="CZ24"/>
      <c r="DA24"/>
      <c r="DD24" s="34">
        <f t="shared" si="55"/>
        <v>170</v>
      </c>
      <c r="DE24" s="112">
        <f t="shared" si="50"/>
        <v>0.64947967430854181</v>
      </c>
      <c r="DR24" t="s">
        <v>316</v>
      </c>
      <c r="EF24" s="34">
        <f t="shared" si="56"/>
        <v>170</v>
      </c>
      <c r="EG24" s="112">
        <f t="shared" si="51"/>
        <v>0.55501138073035694</v>
      </c>
    </row>
    <row r="25" spans="2:137" x14ac:dyDescent="0.25">
      <c r="B25" s="6">
        <f t="shared" si="57"/>
        <v>977</v>
      </c>
      <c r="C25" s="5">
        <v>41169</v>
      </c>
      <c r="D25" s="6" t="s">
        <v>379</v>
      </c>
      <c r="E25" s="33">
        <v>60</v>
      </c>
      <c r="F25" s="6">
        <f t="shared" si="42"/>
        <v>69</v>
      </c>
      <c r="G25" s="6">
        <v>69</v>
      </c>
      <c r="H25" s="6">
        <v>263</v>
      </c>
      <c r="M25"/>
      <c r="N25"/>
      <c r="O25"/>
      <c r="P25"/>
      <c r="Q25"/>
      <c r="R25"/>
      <c r="S25"/>
      <c r="T25"/>
      <c r="U25"/>
      <c r="X25" s="34">
        <f t="shared" si="52"/>
        <v>180</v>
      </c>
      <c r="Y25" s="112">
        <f t="shared" si="9"/>
        <v>0.68589920811936156</v>
      </c>
      <c r="AM25" t="s">
        <v>317</v>
      </c>
      <c r="AO25"/>
      <c r="AP25"/>
      <c r="AQ25"/>
      <c r="AR25"/>
      <c r="AS25"/>
      <c r="AT25"/>
      <c r="AU25"/>
      <c r="AV25"/>
      <c r="AW25"/>
      <c r="AZ25" s="34">
        <f t="shared" si="53"/>
        <v>180</v>
      </c>
      <c r="BA25" s="112">
        <f t="shared" si="44"/>
        <v>0.8756141270771689</v>
      </c>
      <c r="BQ25"/>
      <c r="BR25"/>
      <c r="BS25"/>
      <c r="BT25"/>
      <c r="BU25"/>
      <c r="BV25"/>
      <c r="BW25"/>
      <c r="BX25"/>
      <c r="BY25"/>
      <c r="CB25" s="34">
        <f t="shared" si="54"/>
        <v>180</v>
      </c>
      <c r="CC25" s="112">
        <f t="shared" si="47"/>
        <v>0.5437005044171781</v>
      </c>
      <c r="CP25" s="106" t="s">
        <v>315</v>
      </c>
      <c r="CS25"/>
      <c r="CT25"/>
      <c r="CU25"/>
      <c r="CV25"/>
      <c r="CW25"/>
      <c r="CX25"/>
      <c r="CY25"/>
      <c r="CZ25"/>
      <c r="DA25"/>
      <c r="DD25" s="34">
        <f t="shared" si="55"/>
        <v>180</v>
      </c>
      <c r="DE25" s="112">
        <f t="shared" si="50"/>
        <v>0.62216525368897724</v>
      </c>
      <c r="EF25" s="34">
        <f t="shared" si="56"/>
        <v>180</v>
      </c>
      <c r="EG25" s="112">
        <f t="shared" si="51"/>
        <v>0.54699657771575982</v>
      </c>
    </row>
    <row r="26" spans="2:137" x14ac:dyDescent="0.25">
      <c r="B26" s="6">
        <f t="shared" si="57"/>
        <v>1237</v>
      </c>
      <c r="C26" s="5">
        <v>41432</v>
      </c>
      <c r="D26" s="6" t="s">
        <v>379</v>
      </c>
      <c r="E26" s="33">
        <v>630</v>
      </c>
      <c r="F26" s="6">
        <f t="shared" si="42"/>
        <v>263</v>
      </c>
      <c r="G26" s="6">
        <v>263</v>
      </c>
      <c r="H26" s="6">
        <v>360</v>
      </c>
      <c r="J26" t="s">
        <v>316</v>
      </c>
      <c r="M26"/>
      <c r="N26"/>
      <c r="O26"/>
      <c r="P26"/>
      <c r="Q26"/>
      <c r="R26"/>
      <c r="S26"/>
      <c r="T26"/>
      <c r="U26"/>
      <c r="X26" s="34">
        <f t="shared" si="52"/>
        <v>190</v>
      </c>
      <c r="Y26" s="112">
        <f t="shared" si="9"/>
        <v>0.66331960847210925</v>
      </c>
      <c r="AL26" t="s">
        <v>318</v>
      </c>
      <c r="AM26" s="107">
        <f>AU10</f>
        <v>63.711964333247479</v>
      </c>
      <c r="AN26" s="107">
        <f>AT10</f>
        <v>11.281548108728915</v>
      </c>
      <c r="AO26" s="108" t="s">
        <v>319</v>
      </c>
      <c r="AP26" s="107">
        <f>AV10</f>
        <v>-4.670040401782984</v>
      </c>
      <c r="AQ26"/>
      <c r="AR26"/>
      <c r="AS26"/>
      <c r="AT26"/>
      <c r="AU26"/>
      <c r="AV26"/>
      <c r="AW26"/>
      <c r="AZ26" s="34">
        <f t="shared" si="53"/>
        <v>190</v>
      </c>
      <c r="BA26" s="112">
        <f t="shared" si="44"/>
        <v>0.85148846782456777</v>
      </c>
      <c r="BN26" t="s">
        <v>316</v>
      </c>
      <c r="BQ26"/>
      <c r="BR26"/>
      <c r="BS26"/>
      <c r="BT26"/>
      <c r="BU26"/>
      <c r="BV26"/>
      <c r="BW26"/>
      <c r="BX26"/>
      <c r="BY26"/>
      <c r="CB26" s="34">
        <f t="shared" si="54"/>
        <v>190</v>
      </c>
      <c r="CC26" s="112">
        <f t="shared" si="47"/>
        <v>0.52813456015415439</v>
      </c>
      <c r="CS26"/>
      <c r="CT26"/>
      <c r="CU26"/>
      <c r="CV26"/>
      <c r="CW26"/>
      <c r="CX26"/>
      <c r="CY26"/>
      <c r="CZ26"/>
      <c r="DA26"/>
      <c r="DD26" s="34">
        <f t="shared" si="55"/>
        <v>190</v>
      </c>
      <c r="DE26" s="112">
        <f t="shared" si="50"/>
        <v>0.59504306985049593</v>
      </c>
      <c r="DS26" t="s">
        <v>317</v>
      </c>
      <c r="EF26" s="34">
        <f t="shared" si="56"/>
        <v>190</v>
      </c>
      <c r="EG26" s="112">
        <f t="shared" si="51"/>
        <v>0.53934343539671559</v>
      </c>
    </row>
    <row r="27" spans="2:137" x14ac:dyDescent="0.25">
      <c r="B27" s="6">
        <f t="shared" si="57"/>
        <v>1651</v>
      </c>
      <c r="C27" s="5">
        <v>41852</v>
      </c>
      <c r="D27" s="6" t="s">
        <v>379</v>
      </c>
      <c r="E27" s="6">
        <v>240</v>
      </c>
      <c r="F27" s="6">
        <f t="shared" si="42"/>
        <v>420</v>
      </c>
      <c r="G27" s="6">
        <v>420</v>
      </c>
      <c r="H27" s="6">
        <v>420</v>
      </c>
      <c r="M27"/>
      <c r="N27"/>
      <c r="O27"/>
      <c r="P27"/>
      <c r="Q27"/>
      <c r="R27"/>
      <c r="S27"/>
      <c r="T27"/>
      <c r="U27"/>
      <c r="X27" s="34">
        <f t="shared" si="52"/>
        <v>200</v>
      </c>
      <c r="Y27" s="112">
        <f t="shared" si="9"/>
        <v>0.64082570408367157</v>
      </c>
      <c r="AM27" s="107">
        <f>AT10</f>
        <v>11.281548108728915</v>
      </c>
      <c r="AN27" s="107">
        <f>AN10</f>
        <v>2</v>
      </c>
      <c r="AO27"/>
      <c r="AP27" s="107">
        <f>AS10</f>
        <v>-0.87504186818377239</v>
      </c>
      <c r="AQ27" s="16"/>
      <c r="AR27"/>
      <c r="AS27"/>
      <c r="AT27"/>
      <c r="AU27"/>
      <c r="AV27"/>
      <c r="AW27"/>
      <c r="AZ27" s="34">
        <f t="shared" si="53"/>
        <v>200</v>
      </c>
      <c r="BA27" s="112">
        <f t="shared" si="44"/>
        <v>0.82473828340978006</v>
      </c>
      <c r="BQ27"/>
      <c r="BR27"/>
      <c r="BS27"/>
      <c r="BT27"/>
      <c r="BU27"/>
      <c r="BV27"/>
      <c r="BW27"/>
      <c r="BX27"/>
      <c r="BY27"/>
      <c r="CB27" s="34">
        <f t="shared" si="54"/>
        <v>200</v>
      </c>
      <c r="CC27" s="112">
        <f t="shared" si="47"/>
        <v>0.51312271988495017</v>
      </c>
      <c r="CP27" t="s">
        <v>316</v>
      </c>
      <c r="CS27"/>
      <c r="CT27"/>
      <c r="CU27"/>
      <c r="CV27"/>
      <c r="CW27"/>
      <c r="CX27"/>
      <c r="CY27"/>
      <c r="CZ27"/>
      <c r="DA27"/>
      <c r="DD27" s="34">
        <f t="shared" si="55"/>
        <v>200</v>
      </c>
      <c r="DE27" s="112">
        <f t="shared" si="50"/>
        <v>0.5682065152226482</v>
      </c>
      <c r="DR27" t="s">
        <v>318</v>
      </c>
      <c r="DS27" s="107">
        <f>EA11</f>
        <v>94.203215341662997</v>
      </c>
      <c r="DT27" s="107">
        <f>DZ11</f>
        <v>15.826271679339204</v>
      </c>
      <c r="DU27" s="108" t="s">
        <v>319</v>
      </c>
      <c r="DV27" s="107">
        <f>EB11</f>
        <v>-2.8657972904985192</v>
      </c>
      <c r="EF27" s="34">
        <f t="shared" si="56"/>
        <v>200</v>
      </c>
      <c r="EG27" s="112">
        <f t="shared" si="51"/>
        <v>0.53202015332529806</v>
      </c>
    </row>
    <row r="28" spans="2:137" x14ac:dyDescent="0.25">
      <c r="B28" s="6">
        <f t="shared" si="57"/>
        <v>575</v>
      </c>
      <c r="C28" s="5">
        <v>40760</v>
      </c>
      <c r="D28" s="6" t="s">
        <v>377</v>
      </c>
      <c r="E28" s="33">
        <f>5*24*60</f>
        <v>7200</v>
      </c>
      <c r="F28" s="79" t="s">
        <v>279</v>
      </c>
      <c r="G28" s="79" t="s">
        <v>279</v>
      </c>
      <c r="H28" s="79" t="s">
        <v>279</v>
      </c>
      <c r="K28" t="s">
        <v>317</v>
      </c>
      <c r="M28"/>
      <c r="N28"/>
      <c r="O28"/>
      <c r="P28"/>
      <c r="Q28"/>
      <c r="R28"/>
      <c r="S28"/>
      <c r="T28"/>
      <c r="U28"/>
      <c r="X28" s="34">
        <f t="shared" si="52"/>
        <v>210</v>
      </c>
      <c r="Y28" s="112">
        <f t="shared" si="9"/>
        <v>0.61847366936204451</v>
      </c>
      <c r="AO28"/>
      <c r="AP28"/>
      <c r="AQ28" s="16"/>
      <c r="AR28"/>
      <c r="AS28"/>
      <c r="AT28"/>
      <c r="AU28"/>
      <c r="AV28"/>
      <c r="AW28"/>
      <c r="AZ28" s="34">
        <f t="shared" si="53"/>
        <v>210</v>
      </c>
      <c r="BA28" s="112">
        <f t="shared" si="44"/>
        <v>0.79539661961953423</v>
      </c>
      <c r="BO28" t="s">
        <v>317</v>
      </c>
      <c r="BQ28"/>
      <c r="BR28"/>
      <c r="BS28"/>
      <c r="BT28"/>
      <c r="BU28"/>
      <c r="BV28"/>
      <c r="BW28"/>
      <c r="BX28"/>
      <c r="BY28"/>
      <c r="CB28" s="34">
        <f t="shared" si="54"/>
        <v>210</v>
      </c>
      <c r="CC28" s="112">
        <f t="shared" si="47"/>
        <v>0.49863699077410112</v>
      </c>
      <c r="CS28"/>
      <c r="CT28"/>
      <c r="CU28"/>
      <c r="CV28"/>
      <c r="CW28"/>
      <c r="CX28"/>
      <c r="CY28"/>
      <c r="CZ28"/>
      <c r="DA28"/>
      <c r="DD28" s="34">
        <f t="shared" si="55"/>
        <v>210</v>
      </c>
      <c r="DE28" s="112">
        <f t="shared" si="50"/>
        <v>0.54174013276471955</v>
      </c>
      <c r="DS28" s="107">
        <f>DZ11</f>
        <v>15.826271679339204</v>
      </c>
      <c r="DT28" s="107">
        <f>DT11</f>
        <v>3</v>
      </c>
      <c r="DV28" s="107">
        <f>DY11</f>
        <v>-1.4103223500192108</v>
      </c>
      <c r="DW28" s="16"/>
      <c r="EF28" s="34">
        <f t="shared" si="56"/>
        <v>210</v>
      </c>
      <c r="EG28" s="112">
        <f t="shared" si="51"/>
        <v>0.52499909471901551</v>
      </c>
    </row>
    <row r="29" spans="2:137" x14ac:dyDescent="0.25">
      <c r="B29" s="6">
        <f t="shared" si="57"/>
        <v>1627</v>
      </c>
      <c r="C29" s="5">
        <v>41827</v>
      </c>
      <c r="D29" s="6" t="s">
        <v>377</v>
      </c>
      <c r="E29" s="6">
        <v>44640</v>
      </c>
      <c r="F29" s="6">
        <f t="shared" si="42"/>
        <v>1067</v>
      </c>
      <c r="G29" s="6">
        <v>1067</v>
      </c>
      <c r="H29" s="6">
        <v>14</v>
      </c>
      <c r="J29" t="s">
        <v>318</v>
      </c>
      <c r="K29" s="107">
        <f>S13</f>
        <v>152.75483078274888</v>
      </c>
      <c r="L29" s="107">
        <f>R13</f>
        <v>27.469030246982257</v>
      </c>
      <c r="M29" s="108" t="s">
        <v>319</v>
      </c>
      <c r="N29" s="107">
        <f>T13</f>
        <v>-10.889960661260726</v>
      </c>
      <c r="O29"/>
      <c r="P29"/>
      <c r="Q29"/>
      <c r="R29"/>
      <c r="S29"/>
      <c r="T29"/>
      <c r="U29"/>
      <c r="X29" s="34">
        <f>X28+10</f>
        <v>220</v>
      </c>
      <c r="Y29" s="112">
        <f t="shared" si="9"/>
        <v>0.59631494687104392</v>
      </c>
      <c r="AL29" t="s">
        <v>322</v>
      </c>
      <c r="AO29"/>
      <c r="AP29"/>
      <c r="AQ29" s="16"/>
      <c r="AR29"/>
      <c r="AS29"/>
      <c r="AT29"/>
      <c r="AU29"/>
      <c r="AV29"/>
      <c r="AW29"/>
      <c r="AZ29" s="34">
        <f>AZ28+10</f>
        <v>220</v>
      </c>
      <c r="BA29" s="112">
        <f t="shared" si="44"/>
        <v>0.76354837957830324</v>
      </c>
      <c r="BN29" t="s">
        <v>318</v>
      </c>
      <c r="BO29" s="107">
        <f>BW13</f>
        <v>140.52620380832809</v>
      </c>
      <c r="BP29" s="107">
        <f>BV13</f>
        <v>25.925417856795121</v>
      </c>
      <c r="BQ29" s="108" t="s">
        <v>319</v>
      </c>
      <c r="BR29" s="107">
        <f>BX13</f>
        <v>-7.7634666767613627</v>
      </c>
      <c r="BS29"/>
      <c r="BT29"/>
      <c r="BU29"/>
      <c r="BV29"/>
      <c r="BW29"/>
      <c r="BX29"/>
      <c r="BY29"/>
      <c r="CB29" s="34">
        <f>CB28+10</f>
        <v>220</v>
      </c>
      <c r="CC29" s="112">
        <f t="shared" si="47"/>
        <v>0.48465159834881649</v>
      </c>
      <c r="CQ29" t="s">
        <v>317</v>
      </c>
      <c r="CS29"/>
      <c r="CT29"/>
      <c r="CU29"/>
      <c r="CV29"/>
      <c r="CW29"/>
      <c r="CX29"/>
      <c r="CY29"/>
      <c r="CZ29"/>
      <c r="DA29"/>
      <c r="DD29" s="34">
        <f>DD28+10</f>
        <v>220</v>
      </c>
      <c r="DE29" s="112">
        <f t="shared" si="50"/>
        <v>0.51571987588758716</v>
      </c>
      <c r="DW29" s="16"/>
      <c r="EF29" s="34">
        <f>EF28+10</f>
        <v>220</v>
      </c>
      <c r="EG29" s="112">
        <f t="shared" si="51"/>
        <v>0.51825607451933897</v>
      </c>
    </row>
    <row r="30" spans="2:137" x14ac:dyDescent="0.25">
      <c r="B30" s="6">
        <f t="shared" si="57"/>
        <v>2119</v>
      </c>
      <c r="C30" s="5">
        <v>42327</v>
      </c>
      <c r="D30" s="6" t="s">
        <v>377</v>
      </c>
      <c r="E30" s="30">
        <f>5*25*60</f>
        <v>7500</v>
      </c>
      <c r="F30" s="6">
        <f t="shared" si="42"/>
        <v>500</v>
      </c>
      <c r="G30" s="6">
        <v>500</v>
      </c>
      <c r="H30" s="6">
        <v>500</v>
      </c>
      <c r="K30" s="107">
        <f>R13</f>
        <v>27.469030246982257</v>
      </c>
      <c r="L30" s="107">
        <f>L13</f>
        <v>5</v>
      </c>
      <c r="M30"/>
      <c r="N30" s="107">
        <f>Q13</f>
        <v>-2.510663135828417</v>
      </c>
      <c r="O30" s="16"/>
      <c r="P30"/>
      <c r="Q30"/>
      <c r="R30"/>
      <c r="S30"/>
      <c r="T30"/>
      <c r="U30"/>
      <c r="X30" s="34">
        <f t="shared" si="52"/>
        <v>230</v>
      </c>
      <c r="Y30" s="112">
        <f t="shared" si="9"/>
        <v>0.57439646479436512</v>
      </c>
      <c r="AO30"/>
      <c r="AP30"/>
      <c r="AQ30" s="16"/>
      <c r="AR30"/>
      <c r="AS30"/>
      <c r="AT30"/>
      <c r="AU30"/>
      <c r="AV30"/>
      <c r="AW30"/>
      <c r="AZ30" s="34">
        <f t="shared" si="53"/>
        <v>230</v>
      </c>
      <c r="BA30" s="112">
        <f t="shared" si="44"/>
        <v>0.72933310715951472</v>
      </c>
      <c r="BO30" s="107">
        <f>BV13</f>
        <v>25.925417856795121</v>
      </c>
      <c r="BP30" s="107">
        <f>BP13</f>
        <v>5</v>
      </c>
      <c r="BQ30"/>
      <c r="BR30" s="107">
        <f>BU13</f>
        <v>-2.510663135828417</v>
      </c>
      <c r="BS30" s="16"/>
      <c r="BT30"/>
      <c r="BU30"/>
      <c r="BV30"/>
      <c r="BW30"/>
      <c r="BX30"/>
      <c r="BY30"/>
      <c r="CB30" s="34">
        <f t="shared" si="54"/>
        <v>230</v>
      </c>
      <c r="CC30" s="112">
        <f t="shared" si="47"/>
        <v>0.47114271973770933</v>
      </c>
      <c r="CP30" t="s">
        <v>318</v>
      </c>
      <c r="CQ30" s="107">
        <f>CY14</f>
        <v>172.85314943563341</v>
      </c>
      <c r="CR30" s="107">
        <f>CX14</f>
        <v>32.003350727326691</v>
      </c>
      <c r="CS30" s="108" t="s">
        <v>319</v>
      </c>
      <c r="CT30" s="107">
        <f>CZ14</f>
        <v>-12.794972844360512</v>
      </c>
      <c r="CU30"/>
      <c r="CV30"/>
      <c r="CW30"/>
      <c r="CX30"/>
      <c r="CY30"/>
      <c r="CZ30"/>
      <c r="DA30"/>
      <c r="DD30" s="34">
        <f t="shared" si="55"/>
        <v>230</v>
      </c>
      <c r="DE30" s="112">
        <f t="shared" si="50"/>
        <v>0.49021338933000247</v>
      </c>
      <c r="DR30" t="s">
        <v>322</v>
      </c>
      <c r="DW30" s="16"/>
      <c r="EF30" s="34">
        <f t="shared" si="56"/>
        <v>230</v>
      </c>
      <c r="EG30" s="112">
        <f t="shared" si="51"/>
        <v>0.51176979540549283</v>
      </c>
    </row>
    <row r="31" spans="2:137" x14ac:dyDescent="0.25">
      <c r="B31" s="6">
        <f t="shared" si="57"/>
        <v>2133</v>
      </c>
      <c r="C31" s="5">
        <v>42341</v>
      </c>
      <c r="D31" s="6" t="s">
        <v>377</v>
      </c>
      <c r="E31" s="30">
        <v>180</v>
      </c>
      <c r="F31" s="6">
        <f t="shared" si="42"/>
        <v>14</v>
      </c>
      <c r="G31" s="6">
        <v>14</v>
      </c>
      <c r="H31" s="6">
        <v>1067</v>
      </c>
      <c r="M31"/>
      <c r="N31"/>
      <c r="O31" s="16"/>
      <c r="P31"/>
      <c r="Q31"/>
      <c r="R31"/>
      <c r="S31"/>
      <c r="T31"/>
      <c r="U31"/>
      <c r="X31" s="34">
        <f t="shared" si="52"/>
        <v>240</v>
      </c>
      <c r="Y31" s="112">
        <f t="shared" si="9"/>
        <v>0.55276084258282532</v>
      </c>
      <c r="AL31" t="s">
        <v>318</v>
      </c>
      <c r="AM31" s="107">
        <f t="array" ref="AM31:AN32">MINVERSE(AM26:AN27)</f>
        <v>13.280129863531466</v>
      </c>
      <c r="AN31" s="107">
        <v>-74.910211972798891</v>
      </c>
      <c r="AO31"/>
      <c r="AP31"/>
      <c r="AQ31"/>
      <c r="AR31"/>
      <c r="AS31"/>
      <c r="AT31"/>
      <c r="AU31"/>
      <c r="AV31"/>
      <c r="AW31"/>
      <c r="AZ31" s="34">
        <f t="shared" si="53"/>
        <v>240</v>
      </c>
      <c r="BA31" s="112">
        <f t="shared" si="44"/>
        <v>0.69294622107514137</v>
      </c>
      <c r="BQ31"/>
      <c r="BR31"/>
      <c r="BS31" s="16"/>
      <c r="BT31"/>
      <c r="BU31"/>
      <c r="BV31"/>
      <c r="BW31"/>
      <c r="BX31"/>
      <c r="BY31"/>
      <c r="CB31" s="34">
        <f t="shared" si="54"/>
        <v>240</v>
      </c>
      <c r="CC31" s="112">
        <f t="shared" si="47"/>
        <v>0.45808826043774892</v>
      </c>
      <c r="CQ31" s="107">
        <f>CX14</f>
        <v>32.003350727326691</v>
      </c>
      <c r="CR31" s="107">
        <f>CR14</f>
        <v>6</v>
      </c>
      <c r="CS31"/>
      <c r="CT31" s="107">
        <f>CW14</f>
        <v>-3.0683055582143735</v>
      </c>
      <c r="CU31" s="16"/>
      <c r="CV31"/>
      <c r="CW31"/>
      <c r="CX31"/>
      <c r="CY31"/>
      <c r="CZ31"/>
      <c r="DA31"/>
      <c r="DD31" s="34">
        <f t="shared" si="55"/>
        <v>240</v>
      </c>
      <c r="DE31" s="112">
        <f t="shared" si="50"/>
        <v>0.46528031148089277</v>
      </c>
      <c r="DW31" s="16"/>
      <c r="EF31" s="34">
        <f t="shared" si="56"/>
        <v>240</v>
      </c>
      <c r="EG31" s="112">
        <f t="shared" si="51"/>
        <v>0.50552139601024826</v>
      </c>
    </row>
    <row r="32" spans="2:137" x14ac:dyDescent="0.25">
      <c r="B32" s="60"/>
      <c r="C32" s="60"/>
      <c r="D32" s="61"/>
      <c r="E32" s="60"/>
      <c r="J32" t="s">
        <v>322</v>
      </c>
      <c r="M32"/>
      <c r="N32"/>
      <c r="O32" s="16"/>
      <c r="P32"/>
      <c r="Q32"/>
      <c r="R32"/>
      <c r="S32"/>
      <c r="T32"/>
      <c r="U32"/>
      <c r="X32" s="34">
        <f t="shared" si="52"/>
        <v>250</v>
      </c>
      <c r="Y32" s="112">
        <f t="shared" si="9"/>
        <v>0.5314465879906578</v>
      </c>
      <c r="AM32" s="107">
        <v>-74.910211972798891</v>
      </c>
      <c r="AN32" s="107">
        <v>423.05158010310572</v>
      </c>
      <c r="AO32"/>
      <c r="AP32"/>
      <c r="AQ32"/>
      <c r="AR32"/>
      <c r="AS32"/>
      <c r="AT32"/>
      <c r="AU32"/>
      <c r="AV32"/>
      <c r="AW32"/>
      <c r="AZ32" s="34">
        <f t="shared" si="53"/>
        <v>250</v>
      </c>
      <c r="BA32" s="112">
        <f t="shared" si="44"/>
        <v>0.65463842611093659</v>
      </c>
      <c r="BN32" t="s">
        <v>322</v>
      </c>
      <c r="BQ32"/>
      <c r="BR32"/>
      <c r="BS32" s="16"/>
      <c r="BT32"/>
      <c r="BU32"/>
      <c r="BV32"/>
      <c r="BW32"/>
      <c r="BX32"/>
      <c r="BY32"/>
      <c r="CB32" s="34">
        <f t="shared" si="54"/>
        <v>250</v>
      </c>
      <c r="CC32" s="112">
        <f t="shared" si="47"/>
        <v>0.4454676658202249</v>
      </c>
      <c r="CS32"/>
      <c r="CT32"/>
      <c r="CU32" s="16"/>
      <c r="CV32"/>
      <c r="CW32"/>
      <c r="CX32"/>
      <c r="CY32"/>
      <c r="CZ32"/>
      <c r="DA32"/>
      <c r="DD32" s="34">
        <f t="shared" si="55"/>
        <v>250</v>
      </c>
      <c r="DE32" s="112">
        <f t="shared" si="50"/>
        <v>0.44097259730955363</v>
      </c>
      <c r="DR32" t="s">
        <v>318</v>
      </c>
      <c r="DS32" s="107">
        <f t="array" ref="DS32:DT33">MINVERSE(DS27:DT28)</f>
        <v>9.3345200496547709E-2</v>
      </c>
      <c r="DT32" s="107">
        <v>-0.49243550100691758</v>
      </c>
      <c r="EF32" s="34">
        <f t="shared" si="56"/>
        <v>250</v>
      </c>
      <c r="EG32" s="112">
        <f t="shared" si="51"/>
        <v>0.49949408533720735</v>
      </c>
    </row>
    <row r="33" spans="2:137" x14ac:dyDescent="0.25">
      <c r="M33"/>
      <c r="N33"/>
      <c r="O33" s="16"/>
      <c r="P33"/>
      <c r="Q33"/>
      <c r="R33"/>
      <c r="S33"/>
      <c r="T33"/>
      <c r="U33"/>
      <c r="X33" s="34">
        <f t="shared" si="52"/>
        <v>260</v>
      </c>
      <c r="Y33" s="112">
        <f t="shared" si="9"/>
        <v>0.51048828773585986</v>
      </c>
      <c r="AO33"/>
      <c r="AP33"/>
      <c r="AQ33"/>
      <c r="AR33"/>
      <c r="AS33"/>
      <c r="AT33"/>
      <c r="AU33"/>
      <c r="AV33"/>
      <c r="AW33"/>
      <c r="AZ33" s="34">
        <f t="shared" si="53"/>
        <v>260</v>
      </c>
      <c r="BA33" s="112">
        <f t="shared" si="44"/>
        <v>0.61471308508089684</v>
      </c>
      <c r="BQ33"/>
      <c r="BR33"/>
      <c r="BS33" s="16"/>
      <c r="BT33"/>
      <c r="BU33"/>
      <c r="BV33"/>
      <c r="BW33"/>
      <c r="BX33"/>
      <c r="BY33"/>
      <c r="CB33" s="34">
        <f t="shared" si="54"/>
        <v>260</v>
      </c>
      <c r="CC33" s="112">
        <f t="shared" si="47"/>
        <v>0.43326176066295613</v>
      </c>
      <c r="CP33" t="s">
        <v>322</v>
      </c>
      <c r="CS33"/>
      <c r="CT33"/>
      <c r="CU33" s="16"/>
      <c r="CV33"/>
      <c r="CW33"/>
      <c r="CX33"/>
      <c r="CY33"/>
      <c r="CZ33"/>
      <c r="DA33"/>
      <c r="DD33" s="34">
        <f t="shared" si="55"/>
        <v>260</v>
      </c>
      <c r="DE33" s="112">
        <f t="shared" si="50"/>
        <v>0.41733486014677701</v>
      </c>
      <c r="DS33" s="107">
        <v>-0.49243550100691752</v>
      </c>
      <c r="DT33" s="107">
        <v>2.9311393411623303</v>
      </c>
      <c r="EF33" s="34">
        <f t="shared" si="56"/>
        <v>260</v>
      </c>
      <c r="EG33" s="112">
        <f t="shared" si="51"/>
        <v>0.49367284419137464</v>
      </c>
    </row>
    <row r="34" spans="2:137" x14ac:dyDescent="0.25">
      <c r="J34" t="s">
        <v>318</v>
      </c>
      <c r="K34" s="107">
        <f t="array" ref="K34:L35">MINVERSE(K29:L30)</f>
        <v>0.54191547065577694</v>
      </c>
      <c r="L34" s="107">
        <v>-2.9771784909502328</v>
      </c>
      <c r="M34"/>
      <c r="N34"/>
      <c r="O34"/>
      <c r="P34"/>
      <c r="Q34"/>
      <c r="R34"/>
      <c r="S34"/>
      <c r="T34"/>
      <c r="U34"/>
      <c r="X34" s="34">
        <f t="shared" si="52"/>
        <v>270</v>
      </c>
      <c r="Y34" s="112">
        <f t="shared" si="9"/>
        <v>0.48991679331013066</v>
      </c>
      <c r="AL34" t="s">
        <v>323</v>
      </c>
      <c r="AO34"/>
      <c r="AP34"/>
      <c r="AQ34"/>
      <c r="AR34"/>
      <c r="AS34"/>
      <c r="AT34"/>
      <c r="AU34"/>
      <c r="AV34"/>
      <c r="AW34"/>
      <c r="AZ34" s="34">
        <f t="shared" si="53"/>
        <v>270</v>
      </c>
      <c r="BA34" s="112">
        <f t="shared" si="44"/>
        <v>0.5735214174001223</v>
      </c>
      <c r="BN34" t="s">
        <v>318</v>
      </c>
      <c r="BO34" s="107">
        <f t="array" ref="BO34:BP35">MINVERSE(BO29:BP30)</f>
        <v>0.16391439109596795</v>
      </c>
      <c r="BP34" s="107">
        <v>-0.84990981638102125</v>
      </c>
      <c r="BQ34"/>
      <c r="BR34"/>
      <c r="BS34"/>
      <c r="BT34"/>
      <c r="BU34"/>
      <c r="BV34"/>
      <c r="BW34"/>
      <c r="BX34"/>
      <c r="BY34"/>
      <c r="CB34" s="34">
        <f t="shared" si="54"/>
        <v>270</v>
      </c>
      <c r="CC34" s="112">
        <f t="shared" si="47"/>
        <v>0.42145261151772645</v>
      </c>
      <c r="CS34"/>
      <c r="CT34"/>
      <c r="CU34" s="16"/>
      <c r="CV34"/>
      <c r="CW34"/>
      <c r="CX34"/>
      <c r="CY34"/>
      <c r="CZ34"/>
      <c r="DA34"/>
      <c r="DD34" s="34">
        <f t="shared" si="55"/>
        <v>270</v>
      </c>
      <c r="DE34" s="112">
        <f t="shared" si="50"/>
        <v>0.39440472994227049</v>
      </c>
      <c r="EF34" s="34">
        <f t="shared" si="56"/>
        <v>270</v>
      </c>
      <c r="EG34" s="112">
        <f t="shared" si="51"/>
        <v>0.48804417927133997</v>
      </c>
    </row>
    <row r="35" spans="2:137" x14ac:dyDescent="0.25">
      <c r="K35" s="107">
        <v>-2.9771784909502323</v>
      </c>
      <c r="L35" s="107">
        <v>16.556041203715385</v>
      </c>
      <c r="M35"/>
      <c r="N35"/>
      <c r="O35"/>
      <c r="P35"/>
      <c r="Q35"/>
      <c r="R35"/>
      <c r="S35"/>
      <c r="T35"/>
      <c r="U35"/>
      <c r="X35" s="34">
        <f>X34+10</f>
        <v>280</v>
      </c>
      <c r="Y35" s="112">
        <f t="shared" si="9"/>
        <v>0.46975940294305712</v>
      </c>
      <c r="AO35"/>
      <c r="AP35"/>
      <c r="AQ35"/>
      <c r="AR35"/>
      <c r="AS35"/>
      <c r="AT35"/>
      <c r="AU35"/>
      <c r="AV35"/>
      <c r="AW35"/>
      <c r="AZ35" s="34">
        <f>AZ34+10</f>
        <v>280</v>
      </c>
      <c r="BA35" s="112">
        <f t="shared" si="44"/>
        <v>0.53145549604371578</v>
      </c>
      <c r="BO35" s="107">
        <v>-0.84990981638102125</v>
      </c>
      <c r="BP35" s="107">
        <v>4.6068534260539975</v>
      </c>
      <c r="BQ35"/>
      <c r="BR35"/>
      <c r="BS35"/>
      <c r="BT35"/>
      <c r="BU35"/>
      <c r="BV35"/>
      <c r="BW35"/>
      <c r="BX35"/>
      <c r="BY35"/>
      <c r="CB35" s="34">
        <f>CB34+10</f>
        <v>280</v>
      </c>
      <c r="CC35" s="112">
        <f t="shared" si="47"/>
        <v>0.41002340785278535</v>
      </c>
      <c r="CP35" t="s">
        <v>318</v>
      </c>
      <c r="CQ35" s="107">
        <f t="array" ref="CQ35:CR36">MINVERSE(CQ30:CR31)</f>
        <v>0.46495628950213708</v>
      </c>
      <c r="CR35" s="107">
        <v>-2.4800265343022225</v>
      </c>
      <c r="CS35"/>
      <c r="CT35"/>
      <c r="CU35"/>
      <c r="CV35"/>
      <c r="CW35"/>
      <c r="CX35"/>
      <c r="CY35"/>
      <c r="CZ35"/>
      <c r="DA35"/>
      <c r="DD35" s="34">
        <f>DD34+10</f>
        <v>280</v>
      </c>
      <c r="DE35" s="112">
        <f t="shared" si="50"/>
        <v>0.37221322523038097</v>
      </c>
      <c r="DR35" t="s">
        <v>323</v>
      </c>
      <c r="EF35" s="34">
        <f>EF34+10</f>
        <v>280</v>
      </c>
      <c r="EG35" s="112">
        <f t="shared" si="51"/>
        <v>0.4825959190565533</v>
      </c>
    </row>
    <row r="36" spans="2:137" x14ac:dyDescent="0.25">
      <c r="M36"/>
      <c r="N36"/>
      <c r="O36"/>
      <c r="P36"/>
      <c r="Q36"/>
      <c r="R36"/>
      <c r="S36"/>
      <c r="T36"/>
      <c r="U36"/>
      <c r="X36" s="34">
        <f t="shared" ref="X36:X38" si="58">X35+10</f>
        <v>290</v>
      </c>
      <c r="Y36" s="112">
        <f t="shared" si="9"/>
        <v>0.45004004034220702</v>
      </c>
      <c r="AL36" t="s">
        <v>318</v>
      </c>
      <c r="AM36" s="107">
        <f t="array" ref="AM36:AM37">MMULT(AM31:AN32,AP26:AP27)</f>
        <v>3.5308288271036474</v>
      </c>
      <c r="AO36"/>
      <c r="AP36"/>
      <c r="AQ36"/>
      <c r="AR36"/>
      <c r="AS36"/>
      <c r="AT36"/>
      <c r="AU36"/>
      <c r="AV36"/>
      <c r="AW36"/>
      <c r="AZ36" s="34">
        <f t="shared" ref="AZ36:AZ38" si="59">AZ35+10</f>
        <v>290</v>
      </c>
      <c r="BA36" s="112">
        <f t="shared" si="44"/>
        <v>0.48893913982645609</v>
      </c>
      <c r="BQ36"/>
      <c r="BR36"/>
      <c r="BS36"/>
      <c r="BT36"/>
      <c r="BU36"/>
      <c r="BV36"/>
      <c r="BW36"/>
      <c r="BX36"/>
      <c r="BY36"/>
      <c r="CB36" s="34">
        <f t="shared" ref="CB36:CB38" si="60">CB35+10</f>
        <v>290</v>
      </c>
      <c r="CC36" s="112">
        <f t="shared" si="47"/>
        <v>0.39895835876141195</v>
      </c>
      <c r="CQ36" s="107">
        <v>-2.4800265343022225</v>
      </c>
      <c r="CR36" s="107">
        <v>13.394859831725086</v>
      </c>
      <c r="CS36"/>
      <c r="CT36"/>
      <c r="CU36"/>
      <c r="CV36"/>
      <c r="CW36"/>
      <c r="CX36"/>
      <c r="CY36"/>
      <c r="CZ36"/>
      <c r="DA36"/>
      <c r="DD36" s="34">
        <f t="shared" ref="DD36:DD38" si="61">DD35+10</f>
        <v>290</v>
      </c>
      <c r="DE36" s="112">
        <f t="shared" si="50"/>
        <v>0.35078513581208681</v>
      </c>
      <c r="EF36" s="34">
        <f t="shared" ref="EF36:EF38" si="62">EF35+10</f>
        <v>290</v>
      </c>
      <c r="EG36" s="112">
        <f t="shared" si="51"/>
        <v>0.47731704316894452</v>
      </c>
    </row>
    <row r="37" spans="2:137" x14ac:dyDescent="0.25">
      <c r="J37" t="s">
        <v>323</v>
      </c>
      <c r="M37"/>
      <c r="N37"/>
      <c r="O37"/>
      <c r="P37"/>
      <c r="Q37"/>
      <c r="R37"/>
      <c r="S37"/>
      <c r="T37"/>
      <c r="U37"/>
      <c r="X37" s="34">
        <f t="shared" si="58"/>
        <v>300</v>
      </c>
      <c r="Y37" s="112">
        <f t="shared" si="9"/>
        <v>0.43077943054984658</v>
      </c>
      <c r="AM37" s="107">
        <v>-20.354128572420279</v>
      </c>
      <c r="AO37"/>
      <c r="AP37"/>
      <c r="AQ37"/>
      <c r="AR37"/>
      <c r="AS37"/>
      <c r="AT37"/>
      <c r="AU37"/>
      <c r="AV37"/>
      <c r="AW37"/>
      <c r="AZ37" s="34">
        <f t="shared" si="59"/>
        <v>300</v>
      </c>
      <c r="BA37" s="112">
        <f t="shared" si="44"/>
        <v>0.44641693545090444</v>
      </c>
      <c r="BN37" t="s">
        <v>323</v>
      </c>
      <c r="BQ37"/>
      <c r="BR37"/>
      <c r="BS37"/>
      <c r="BT37"/>
      <c r="BU37"/>
      <c r="BV37"/>
      <c r="BW37"/>
      <c r="BX37"/>
      <c r="BY37"/>
      <c r="CB37" s="34">
        <f t="shared" si="60"/>
        <v>300</v>
      </c>
      <c r="CC37" s="112">
        <f t="shared" si="47"/>
        <v>0.38824260267572769</v>
      </c>
      <c r="CS37"/>
      <c r="CT37"/>
      <c r="CU37"/>
      <c r="CV37"/>
      <c r="CW37"/>
      <c r="CX37"/>
      <c r="CY37"/>
      <c r="CZ37"/>
      <c r="DA37"/>
      <c r="DD37" s="34">
        <f t="shared" si="61"/>
        <v>300</v>
      </c>
      <c r="DE37" s="112">
        <f t="shared" si="50"/>
        <v>0.33013941306602557</v>
      </c>
      <c r="DR37" t="s">
        <v>318</v>
      </c>
      <c r="DS37" s="107">
        <f t="array" ref="DS37:DS38">MMULT(DS32:DT33,DV27:DV28)</f>
        <v>0.42698437034891595</v>
      </c>
      <c r="EF37" s="34">
        <f t="shared" si="62"/>
        <v>300</v>
      </c>
      <c r="EG37" s="112">
        <f t="shared" si="51"/>
        <v>0.47219753877111564</v>
      </c>
    </row>
    <row r="38" spans="2:137" x14ac:dyDescent="0.25">
      <c r="M38"/>
      <c r="N38"/>
      <c r="O38"/>
      <c r="P38"/>
      <c r="Q38"/>
      <c r="R38"/>
      <c r="S38"/>
      <c r="T38"/>
      <c r="U38"/>
      <c r="X38" s="34">
        <f t="shared" si="58"/>
        <v>310</v>
      </c>
      <c r="Y38" s="112">
        <f t="shared" si="9"/>
        <v>0.41199527305238343</v>
      </c>
      <c r="AO38"/>
      <c r="AP38"/>
      <c r="AQ38"/>
      <c r="AR38"/>
      <c r="AS38"/>
      <c r="AT38"/>
      <c r="AU38"/>
      <c r="AV38"/>
      <c r="AW38"/>
      <c r="AZ38" s="34">
        <f t="shared" si="59"/>
        <v>310</v>
      </c>
      <c r="BA38" s="112">
        <f t="shared" si="44"/>
        <v>0.40434176412733241</v>
      </c>
      <c r="BQ38"/>
      <c r="BR38"/>
      <c r="BS38"/>
      <c r="BT38"/>
      <c r="BU38"/>
      <c r="BV38"/>
      <c r="BW38"/>
      <c r="BX38"/>
      <c r="BY38"/>
      <c r="CB38" s="34">
        <f t="shared" si="60"/>
        <v>310</v>
      </c>
      <c r="CC38" s="112">
        <f t="shared" si="47"/>
        <v>0.37786212802393215</v>
      </c>
      <c r="CP38" t="s">
        <v>323</v>
      </c>
      <c r="CS38"/>
      <c r="CT38"/>
      <c r="CU38"/>
      <c r="CV38"/>
      <c r="CW38"/>
      <c r="CX38"/>
      <c r="CY38"/>
      <c r="CZ38"/>
      <c r="DA38"/>
      <c r="DD38" s="34">
        <f t="shared" si="61"/>
        <v>310</v>
      </c>
      <c r="DE38" s="112">
        <f t="shared" si="50"/>
        <v>0.31028956480462283</v>
      </c>
      <c r="DS38" s="107">
        <v>-2.7226309993309141</v>
      </c>
      <c r="EF38" s="34">
        <f t="shared" si="62"/>
        <v>310</v>
      </c>
      <c r="EG38" s="112">
        <f t="shared" si="51"/>
        <v>0.467228278972249</v>
      </c>
    </row>
    <row r="39" spans="2:137" x14ac:dyDescent="0.25">
      <c r="J39" t="s">
        <v>318</v>
      </c>
      <c r="K39" s="107">
        <f t="array" ref="K39:K40">MMULT(K34:L35,N29:N30)</f>
        <v>1.5732541288400244</v>
      </c>
      <c r="M39"/>
      <c r="N39"/>
      <c r="O39"/>
      <c r="P39"/>
      <c r="Q39"/>
      <c r="R39"/>
      <c r="S39"/>
      <c r="T39"/>
      <c r="U39"/>
      <c r="AL39" s="2" t="s">
        <v>320</v>
      </c>
      <c r="AM39" s="109">
        <f>EXP(-AM37/AM36)</f>
        <v>318.83973142897486</v>
      </c>
      <c r="AO39"/>
      <c r="AP39"/>
      <c r="AQ39"/>
      <c r="AR39"/>
      <c r="AS39"/>
      <c r="AT39"/>
      <c r="AU39"/>
      <c r="AV39"/>
      <c r="AW39"/>
      <c r="BN39" t="s">
        <v>318</v>
      </c>
      <c r="BO39" s="107">
        <f t="array" ref="BO39:BO40">MMULT(BO34:BP35,BR29:BR30)</f>
        <v>0.86129333165135247</v>
      </c>
      <c r="BQ39"/>
      <c r="BR39"/>
      <c r="BS39"/>
      <c r="BT39"/>
      <c r="BU39"/>
      <c r="BV39"/>
      <c r="BW39"/>
      <c r="BX39"/>
      <c r="BY39"/>
      <c r="CS39"/>
      <c r="CT39"/>
      <c r="CU39"/>
      <c r="CV39"/>
      <c r="CW39"/>
      <c r="CX39"/>
      <c r="CY39"/>
      <c r="CZ39"/>
      <c r="DA39"/>
    </row>
    <row r="40" spans="2:137" x14ac:dyDescent="0.25">
      <c r="K40" s="107">
        <v>-9.145285677424944</v>
      </c>
      <c r="M40"/>
      <c r="N40"/>
      <c r="O40"/>
      <c r="P40"/>
      <c r="Q40"/>
      <c r="R40"/>
      <c r="S40"/>
      <c r="T40"/>
      <c r="U40"/>
      <c r="X40" s="16" t="s">
        <v>324</v>
      </c>
      <c r="AL40" s="2" t="s">
        <v>321</v>
      </c>
      <c r="AM40" s="109">
        <f>AM36</f>
        <v>3.5308288271036474</v>
      </c>
      <c r="AO40"/>
      <c r="AP40"/>
      <c r="AQ40"/>
      <c r="AR40"/>
      <c r="AS40"/>
      <c r="AT40"/>
      <c r="AU40"/>
      <c r="AV40"/>
      <c r="AW40"/>
      <c r="AZ40" s="16" t="s">
        <v>324</v>
      </c>
      <c r="BO40" s="107">
        <v>-4.9680105312321894</v>
      </c>
      <c r="BQ40"/>
      <c r="BR40"/>
      <c r="BS40"/>
      <c r="BT40"/>
      <c r="BU40"/>
      <c r="BV40"/>
      <c r="BW40"/>
      <c r="BX40"/>
      <c r="BY40"/>
      <c r="CB40" s="16" t="s">
        <v>324</v>
      </c>
      <c r="CP40" t="s">
        <v>318</v>
      </c>
      <c r="CQ40" s="107">
        <f t="array" ref="CQ40:CQ41">MMULT(CQ35:CR36,CT30:CT31)</f>
        <v>1.6603761017241707</v>
      </c>
      <c r="CS40"/>
      <c r="CT40"/>
      <c r="CU40"/>
      <c r="CV40"/>
      <c r="CW40"/>
      <c r="CX40"/>
      <c r="CY40"/>
      <c r="CZ40"/>
      <c r="DA40"/>
      <c r="DD40" s="16" t="s">
        <v>324</v>
      </c>
      <c r="DR40" s="2" t="s">
        <v>320</v>
      </c>
      <c r="DS40" s="109">
        <f>EXP(-DS38/DS37)</f>
        <v>587.81860695109856</v>
      </c>
      <c r="EF40" s="16" t="s">
        <v>324</v>
      </c>
    </row>
    <row r="41" spans="2:137" x14ac:dyDescent="0.25">
      <c r="M41"/>
      <c r="N41"/>
      <c r="O41"/>
      <c r="P41"/>
      <c r="Q41"/>
      <c r="R41"/>
      <c r="S41"/>
      <c r="T41"/>
      <c r="U41"/>
      <c r="AO41"/>
      <c r="AP41"/>
      <c r="AQ41"/>
      <c r="AR41"/>
      <c r="AS41"/>
      <c r="AT41"/>
      <c r="AU41"/>
      <c r="AV41"/>
      <c r="AW41"/>
      <c r="BQ41"/>
      <c r="BR41"/>
      <c r="BS41"/>
      <c r="BT41"/>
      <c r="BU41"/>
      <c r="BV41"/>
      <c r="BW41"/>
      <c r="BX41"/>
      <c r="BY41"/>
      <c r="CQ41" s="107">
        <v>-9.3676507134940756</v>
      </c>
      <c r="CS41"/>
      <c r="CT41"/>
      <c r="CU41"/>
      <c r="CV41"/>
      <c r="CW41"/>
      <c r="CX41"/>
      <c r="CY41"/>
      <c r="CZ41"/>
      <c r="DA41"/>
      <c r="DR41" s="2" t="s">
        <v>321</v>
      </c>
      <c r="DS41" s="109">
        <f>DS37</f>
        <v>0.42698437034891595</v>
      </c>
    </row>
    <row r="42" spans="2:137" x14ac:dyDescent="0.25">
      <c r="B42" s="60"/>
      <c r="C42" s="60"/>
      <c r="D42" s="60"/>
      <c r="E42" s="60"/>
      <c r="J42" s="2" t="s">
        <v>320</v>
      </c>
      <c r="K42" s="109">
        <f>EXP(-K40/K39)</f>
        <v>334.61285621250994</v>
      </c>
      <c r="M42"/>
      <c r="N42"/>
      <c r="O42"/>
      <c r="P42"/>
      <c r="Q42"/>
      <c r="R42"/>
      <c r="S42"/>
      <c r="T42"/>
      <c r="U42"/>
      <c r="AO42"/>
      <c r="AP42"/>
      <c r="AQ42"/>
      <c r="AR42"/>
      <c r="AS42"/>
      <c r="AT42"/>
      <c r="AU42"/>
      <c r="AV42"/>
      <c r="AW42"/>
      <c r="BN42" s="2" t="s">
        <v>320</v>
      </c>
      <c r="BO42" s="109">
        <f>EXP(-BO40/BO39)</f>
        <v>319.92351867753422</v>
      </c>
      <c r="BQ42"/>
      <c r="BR42"/>
      <c r="BS42"/>
      <c r="BT42"/>
      <c r="BU42"/>
      <c r="BV42"/>
      <c r="BW42"/>
      <c r="BX42"/>
      <c r="BY42"/>
      <c r="CS42"/>
      <c r="CT42"/>
      <c r="CU42"/>
      <c r="CV42"/>
      <c r="CW42"/>
      <c r="CX42"/>
      <c r="CY42"/>
      <c r="CZ42"/>
      <c r="DA42"/>
    </row>
    <row r="43" spans="2:137" x14ac:dyDescent="0.25">
      <c r="B43" s="60"/>
      <c r="C43" s="60"/>
      <c r="D43" s="60"/>
      <c r="E43" s="60"/>
      <c r="J43" s="2" t="s">
        <v>321</v>
      </c>
      <c r="K43" s="109">
        <f>K39</f>
        <v>1.5732541288400244</v>
      </c>
      <c r="M43"/>
      <c r="N43"/>
      <c r="O43"/>
      <c r="P43"/>
      <c r="Q43"/>
      <c r="R43"/>
      <c r="S43"/>
      <c r="T43"/>
      <c r="U43"/>
      <c r="BN43" s="2" t="s">
        <v>321</v>
      </c>
      <c r="BO43" s="109">
        <f>BO39</f>
        <v>0.86129333165135247</v>
      </c>
      <c r="BQ43"/>
      <c r="BR43"/>
      <c r="BS43"/>
      <c r="BT43"/>
      <c r="BU43"/>
      <c r="BV43"/>
      <c r="BW43"/>
      <c r="BX43"/>
      <c r="BY43"/>
      <c r="CP43" s="2" t="s">
        <v>320</v>
      </c>
      <c r="CQ43" s="109">
        <f>EXP(-CQ41/CQ40)</f>
        <v>281.9937235535088</v>
      </c>
      <c r="CS43"/>
      <c r="CT43"/>
      <c r="CU43"/>
      <c r="CV43"/>
      <c r="CW43"/>
      <c r="CX43"/>
      <c r="CY43"/>
      <c r="CZ43"/>
      <c r="DA43"/>
    </row>
    <row r="44" spans="2:137" x14ac:dyDescent="0.25">
      <c r="M44"/>
      <c r="N44"/>
      <c r="O44"/>
      <c r="P44"/>
      <c r="Q44"/>
      <c r="R44"/>
      <c r="S44"/>
      <c r="T44"/>
      <c r="U44"/>
      <c r="AO44"/>
      <c r="AP44"/>
      <c r="AQ44"/>
      <c r="AR44"/>
      <c r="AS44"/>
      <c r="AT44"/>
      <c r="AU44"/>
      <c r="AV44"/>
      <c r="AW44"/>
      <c r="BQ44"/>
      <c r="BR44"/>
      <c r="BS44"/>
      <c r="BT44"/>
      <c r="BU44"/>
      <c r="BV44"/>
      <c r="BW44"/>
      <c r="BX44"/>
      <c r="BY44"/>
      <c r="CP44" s="2" t="s">
        <v>321</v>
      </c>
      <c r="CQ44" s="109">
        <f>CQ40</f>
        <v>1.6603761017241707</v>
      </c>
      <c r="CS44"/>
      <c r="CT44"/>
      <c r="CU44"/>
      <c r="CV44"/>
      <c r="CW44"/>
      <c r="CX44"/>
      <c r="CY44"/>
      <c r="CZ44"/>
      <c r="DA44"/>
      <c r="DU44" s="60"/>
      <c r="DV44" s="60"/>
      <c r="DW44" s="60"/>
      <c r="DX44" s="60"/>
      <c r="DY44" s="60"/>
      <c r="DZ44" s="60"/>
      <c r="EA44" s="60"/>
      <c r="EB44" s="60"/>
      <c r="EC44" s="60"/>
    </row>
    <row r="45" spans="2:137" x14ac:dyDescent="0.25">
      <c r="M45"/>
      <c r="N45"/>
      <c r="O45"/>
      <c r="P45"/>
      <c r="Q45"/>
      <c r="R45"/>
      <c r="S45"/>
      <c r="T45"/>
      <c r="U45"/>
      <c r="BQ45"/>
      <c r="BR45"/>
      <c r="BS45"/>
      <c r="BT45"/>
      <c r="BU45"/>
      <c r="BV45"/>
      <c r="BW45"/>
      <c r="BX45"/>
      <c r="BY45"/>
      <c r="CS45"/>
      <c r="CT45"/>
      <c r="CU45"/>
      <c r="CV45"/>
      <c r="CW45"/>
      <c r="CX45"/>
      <c r="CY45"/>
      <c r="CZ45"/>
      <c r="DA45"/>
      <c r="DU45" s="60"/>
      <c r="DV45" s="60"/>
      <c r="DW45" s="60"/>
      <c r="DX45" s="60"/>
      <c r="DY45" s="60"/>
      <c r="DZ45" s="60"/>
      <c r="EA45" s="60"/>
      <c r="EB45" s="60"/>
      <c r="EC45" s="60"/>
    </row>
    <row r="46" spans="2:137" x14ac:dyDescent="0.25">
      <c r="CS46"/>
      <c r="CT46"/>
      <c r="CU46"/>
      <c r="CV46"/>
      <c r="CW46"/>
      <c r="CX46"/>
      <c r="CY46"/>
      <c r="CZ46"/>
      <c r="DA46"/>
      <c r="DU46" s="60"/>
      <c r="DV46" s="60"/>
      <c r="DW46" s="60"/>
      <c r="DX46" s="60"/>
      <c r="DY46" s="60"/>
      <c r="DZ46" s="60"/>
      <c r="EA46" s="60"/>
      <c r="EB46" s="60"/>
      <c r="EC46" s="60"/>
    </row>
    <row r="47" spans="2:137" x14ac:dyDescent="0.25">
      <c r="M47"/>
      <c r="N47"/>
      <c r="O47"/>
      <c r="P47"/>
      <c r="Q47"/>
      <c r="R47"/>
      <c r="S47"/>
      <c r="T47"/>
      <c r="U47"/>
      <c r="X47" s="16"/>
      <c r="AZ47" s="16"/>
      <c r="CB47" s="16"/>
      <c r="DD47" s="16"/>
      <c r="DU47" s="60"/>
      <c r="DV47" s="60"/>
      <c r="DW47" s="60"/>
      <c r="DX47" s="60"/>
      <c r="DY47" s="60"/>
      <c r="DZ47" s="60"/>
      <c r="EA47" s="60"/>
      <c r="EB47" s="60"/>
      <c r="EC47" s="60"/>
      <c r="EF47" s="16"/>
    </row>
    <row r="48" spans="2:137" x14ac:dyDescent="0.25">
      <c r="X48" s="16"/>
      <c r="AZ48" s="16"/>
      <c r="CB48" s="16"/>
      <c r="DD48" s="16"/>
      <c r="DU48" s="60"/>
      <c r="DV48" s="60"/>
      <c r="DW48" s="60"/>
      <c r="DX48" s="60"/>
      <c r="DY48" s="60"/>
      <c r="DZ48" s="60"/>
      <c r="EA48" s="60"/>
      <c r="EB48" s="60"/>
      <c r="EC48" s="60"/>
      <c r="EF48" s="16"/>
    </row>
    <row r="49" spans="2:136" x14ac:dyDescent="0.25">
      <c r="X49" s="16"/>
      <c r="AZ49" s="16"/>
      <c r="CB49" s="16"/>
      <c r="DD49" s="16"/>
      <c r="DU49" s="60"/>
      <c r="DV49" s="60"/>
      <c r="DW49" s="60"/>
      <c r="DX49" s="60"/>
      <c r="DY49" s="60"/>
      <c r="DZ49" s="60"/>
      <c r="EA49" s="60"/>
      <c r="EB49" s="60"/>
      <c r="EC49" s="60"/>
      <c r="EF49" s="16"/>
    </row>
    <row r="50" spans="2:136" x14ac:dyDescent="0.25">
      <c r="X50" s="16"/>
      <c r="AZ50" s="16"/>
      <c r="CB50" s="16"/>
      <c r="DD50" s="16"/>
      <c r="EF50" s="16"/>
    </row>
    <row r="51" spans="2:136" x14ac:dyDescent="0.25">
      <c r="B51" s="60"/>
      <c r="C51" s="60"/>
      <c r="D51" s="60"/>
      <c r="E51" s="60"/>
      <c r="X51" s="16"/>
      <c r="AZ51" s="16"/>
      <c r="CB51" s="16"/>
      <c r="DD51" s="16"/>
      <c r="EF51" s="16"/>
    </row>
    <row r="52" spans="2:136" x14ac:dyDescent="0.25">
      <c r="X52" s="16"/>
      <c r="AZ52" s="16"/>
      <c r="CB52" s="16"/>
      <c r="DD52" s="16"/>
      <c r="EF52" s="16"/>
    </row>
    <row r="53" spans="2:136" x14ac:dyDescent="0.25">
      <c r="X53" s="17"/>
      <c r="AZ53" s="17"/>
      <c r="CB53" s="17"/>
      <c r="DD53" s="17"/>
      <c r="EF53" s="17"/>
    </row>
    <row r="54" spans="2:136" x14ac:dyDescent="0.25">
      <c r="X54" s="16"/>
      <c r="AZ54" s="16"/>
      <c r="CB54" s="16"/>
      <c r="DD54" s="16"/>
      <c r="EF54" s="16"/>
    </row>
    <row r="55" spans="2:136" x14ac:dyDescent="0.25">
      <c r="X55" s="16"/>
      <c r="AZ55" s="16"/>
      <c r="CB55" s="16"/>
      <c r="DD55" s="16"/>
      <c r="EF55" s="16"/>
    </row>
    <row r="56" spans="2:136" x14ac:dyDescent="0.25">
      <c r="X56" s="16"/>
      <c r="AZ56" s="16"/>
      <c r="CB56" s="16"/>
      <c r="DD56" s="16"/>
      <c r="EF56" s="16"/>
    </row>
    <row r="57" spans="2:136" x14ac:dyDescent="0.25">
      <c r="X57" s="16"/>
      <c r="AZ57" s="16"/>
      <c r="CB57" s="16"/>
      <c r="DD57" s="16"/>
      <c r="EF57" s="16"/>
    </row>
    <row r="58" spans="2:136" x14ac:dyDescent="0.25">
      <c r="X58" s="16"/>
      <c r="AZ58" s="16"/>
      <c r="CB58" s="16"/>
      <c r="DD58" s="16"/>
      <c r="EF58" s="16"/>
    </row>
    <row r="59" spans="2:136" x14ac:dyDescent="0.25">
      <c r="X59" s="16"/>
      <c r="AZ59" s="16"/>
      <c r="CB59" s="16"/>
      <c r="DD59" s="16"/>
      <c r="EF59" s="16"/>
    </row>
    <row r="60" spans="2:136" x14ac:dyDescent="0.25">
      <c r="X60" s="16"/>
      <c r="AZ60" s="16"/>
      <c r="CB60" s="16"/>
      <c r="DD60" s="16"/>
      <c r="EF60" s="16"/>
    </row>
    <row r="61" spans="2:136" x14ac:dyDescent="0.25">
      <c r="X61" s="16"/>
      <c r="AZ61" s="16"/>
      <c r="CB61" s="16"/>
      <c r="DD61" s="16"/>
      <c r="EF61" s="16"/>
    </row>
    <row r="62" spans="2:136" x14ac:dyDescent="0.25">
      <c r="X62" s="16"/>
      <c r="AZ62" s="16"/>
      <c r="CB62" s="16"/>
      <c r="DD62" s="16"/>
      <c r="EF62" s="16"/>
    </row>
    <row r="63" spans="2:136" x14ac:dyDescent="0.25">
      <c r="X63" s="16"/>
      <c r="AZ63" s="16"/>
      <c r="CB63" s="16"/>
      <c r="DD63" s="16"/>
      <c r="EF63" s="16"/>
    </row>
    <row r="64" spans="2:136" x14ac:dyDescent="0.25">
      <c r="X64" s="16"/>
      <c r="AZ64" s="16"/>
      <c r="CB64" s="16"/>
      <c r="DD64" s="16"/>
      <c r="EF64" s="16"/>
    </row>
    <row r="65" spans="24:136" x14ac:dyDescent="0.25">
      <c r="X65" s="16"/>
      <c r="AZ65" s="16"/>
      <c r="CB65" s="16"/>
      <c r="DD65" s="16"/>
      <c r="EF65" s="16"/>
    </row>
    <row r="66" spans="24:136" x14ac:dyDescent="0.25">
      <c r="X66" s="16"/>
      <c r="AZ66" s="16"/>
      <c r="CB66" s="16"/>
      <c r="DD66" s="16"/>
      <c r="EF66" s="16"/>
    </row>
    <row r="67" spans="24:136" x14ac:dyDescent="0.25">
      <c r="X67" s="16"/>
      <c r="AZ67" s="16"/>
      <c r="CB67" s="16"/>
      <c r="DD67" s="16"/>
      <c r="EF67" s="16"/>
    </row>
    <row r="68" spans="24:136" x14ac:dyDescent="0.25">
      <c r="X68" s="16"/>
      <c r="AZ68" s="16"/>
      <c r="CB68" s="16"/>
      <c r="DD68" s="16"/>
      <c r="EF68" s="16"/>
    </row>
    <row r="69" spans="24:136" x14ac:dyDescent="0.25">
      <c r="X69" s="16"/>
      <c r="AZ69" s="16"/>
      <c r="CB69" s="16"/>
      <c r="DD69" s="16"/>
      <c r="EF69" s="16"/>
    </row>
    <row r="70" spans="24:136" x14ac:dyDescent="0.25">
      <c r="X70" s="16"/>
      <c r="AZ70" s="16"/>
      <c r="CB70" s="16"/>
      <c r="DD70" s="16"/>
      <c r="EF70" s="16"/>
    </row>
    <row r="71" spans="24:136" x14ac:dyDescent="0.25">
      <c r="X71" s="16"/>
      <c r="AZ71" s="16"/>
      <c r="CB71" s="16"/>
      <c r="DD71" s="16"/>
      <c r="EF71" s="16"/>
    </row>
    <row r="72" spans="24:136" x14ac:dyDescent="0.25">
      <c r="X72" s="16"/>
      <c r="AZ72" s="16"/>
      <c r="CB72" s="16"/>
      <c r="DD72" s="16"/>
      <c r="EF72" s="16"/>
    </row>
    <row r="73" spans="24:136" x14ac:dyDescent="0.25">
      <c r="X73" s="16"/>
      <c r="AZ73" s="16"/>
      <c r="CB73" s="16"/>
      <c r="DD73" s="16"/>
      <c r="EF73" s="16"/>
    </row>
    <row r="74" spans="24:136" x14ac:dyDescent="0.25">
      <c r="X74" s="16"/>
      <c r="AZ74" s="16"/>
      <c r="CB74" s="16"/>
      <c r="DD74" s="16"/>
      <c r="EF74" s="16"/>
    </row>
    <row r="75" spans="24:136" x14ac:dyDescent="0.25">
      <c r="X75" s="16"/>
      <c r="AZ75" s="16"/>
      <c r="CB75" s="16"/>
      <c r="DD75" s="16"/>
      <c r="EF75" s="16"/>
    </row>
    <row r="76" spans="24:136" x14ac:dyDescent="0.25">
      <c r="X76" s="16"/>
      <c r="AZ76" s="16"/>
      <c r="CB76" s="16"/>
      <c r="DD76" s="16"/>
      <c r="EF76" s="16"/>
    </row>
    <row r="77" spans="24:136" x14ac:dyDescent="0.25">
      <c r="X77" s="16"/>
      <c r="AZ77" s="16"/>
      <c r="CB77" s="16"/>
      <c r="DD77" s="16"/>
      <c r="EF77" s="16"/>
    </row>
    <row r="78" spans="24:136" x14ac:dyDescent="0.25">
      <c r="X78" s="16"/>
      <c r="AZ78" s="16"/>
      <c r="CB78" s="16"/>
      <c r="DD78" s="16"/>
      <c r="EF78" s="16"/>
    </row>
    <row r="79" spans="24:136" x14ac:dyDescent="0.25">
      <c r="X79" s="16"/>
      <c r="AZ79" s="16"/>
      <c r="CB79" s="16"/>
      <c r="DD79" s="16"/>
      <c r="EF79" s="16"/>
    </row>
    <row r="80" spans="24:136" x14ac:dyDescent="0.25">
      <c r="X80" s="17"/>
      <c r="AZ80" s="17"/>
      <c r="CB80" s="17"/>
      <c r="DD80" s="17"/>
      <c r="EF80" s="17"/>
    </row>
    <row r="81" spans="24:136" x14ac:dyDescent="0.25">
      <c r="X81" s="17"/>
      <c r="AZ81" s="17"/>
      <c r="CB81" s="17"/>
      <c r="DD81" s="17"/>
      <c r="EF81" s="17"/>
    </row>
    <row r="82" spans="24:136" x14ac:dyDescent="0.25">
      <c r="X82" s="16"/>
      <c r="AZ82" s="16"/>
      <c r="CB82" s="16"/>
      <c r="DD82" s="16"/>
      <c r="EF82" s="16"/>
    </row>
    <row r="83" spans="24:136" x14ac:dyDescent="0.25">
      <c r="X83" s="16"/>
      <c r="AZ83" s="16"/>
      <c r="CB83" s="16"/>
      <c r="DD83" s="16"/>
      <c r="EF83" s="16"/>
    </row>
    <row r="84" spans="24:136" x14ac:dyDescent="0.25">
      <c r="X84" s="16"/>
      <c r="AZ84" s="16"/>
      <c r="CB84" s="16"/>
      <c r="DD84" s="16"/>
      <c r="EF84" s="16"/>
    </row>
    <row r="85" spans="24:136" x14ac:dyDescent="0.25">
      <c r="X85" s="16"/>
      <c r="AZ85" s="16"/>
      <c r="CB85" s="16"/>
      <c r="DD85" s="16"/>
      <c r="EF85" s="16"/>
    </row>
  </sheetData>
  <sheetProtection sheet="1" objects="1" scenarios="1"/>
  <sortState ref="H22:H27">
    <sortCondition ref="H22"/>
  </sortState>
  <mergeCells count="11">
    <mergeCell ref="J4:U4"/>
    <mergeCell ref="BN4:BY4"/>
    <mergeCell ref="CP4:DA4"/>
    <mergeCell ref="DR4:EC4"/>
    <mergeCell ref="AL4:AW4"/>
    <mergeCell ref="B2:H3"/>
    <mergeCell ref="J3:U3"/>
    <mergeCell ref="BN3:BY3"/>
    <mergeCell ref="CP3:DA3"/>
    <mergeCell ref="DR3:EC3"/>
    <mergeCell ref="AL3:AW3"/>
  </mergeCells>
  <pageMargins left="0.7" right="0.7" top="0.75" bottom="0.75" header="0.3" footer="0.3"/>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2:Y51"/>
  <sheetViews>
    <sheetView zoomScale="85" zoomScaleNormal="85" workbookViewId="0"/>
  </sheetViews>
  <sheetFormatPr defaultRowHeight="15" x14ac:dyDescent="0.25"/>
  <cols>
    <col min="1" max="1" width="3" customWidth="1"/>
    <col min="2" max="3" width="10.42578125" bestFit="1" customWidth="1"/>
    <col min="4" max="4" width="21.42578125" bestFit="1" customWidth="1"/>
    <col min="5" max="5" width="13.42578125" bestFit="1" customWidth="1"/>
    <col min="7" max="7" width="19.28515625" bestFit="1" customWidth="1"/>
    <col min="8" max="8" width="19.140625" bestFit="1" customWidth="1"/>
    <col min="9" max="9" width="18.140625" bestFit="1" customWidth="1"/>
  </cols>
  <sheetData>
    <row r="2" spans="2:25" ht="15" customHeight="1" x14ac:dyDescent="0.25">
      <c r="B2" s="123" t="s">
        <v>372</v>
      </c>
      <c r="C2" s="123"/>
      <c r="D2" s="123"/>
      <c r="E2" s="123"/>
      <c r="F2" s="123"/>
      <c r="G2" s="123"/>
      <c r="H2" s="123"/>
      <c r="I2" s="123"/>
    </row>
    <row r="3" spans="2:25" x14ac:dyDescent="0.25">
      <c r="B3" s="123"/>
      <c r="C3" s="123"/>
      <c r="D3" s="123"/>
      <c r="E3" s="123"/>
      <c r="F3" s="123"/>
      <c r="G3" s="123"/>
      <c r="H3" s="123"/>
      <c r="I3" s="123"/>
      <c r="K3" s="130" t="s">
        <v>292</v>
      </c>
      <c r="L3" s="130"/>
      <c r="M3" s="130"/>
      <c r="N3" s="130" t="s">
        <v>292</v>
      </c>
      <c r="O3" s="130"/>
      <c r="P3" s="130"/>
      <c r="Q3" s="130" t="s">
        <v>292</v>
      </c>
      <c r="R3" s="130"/>
      <c r="S3" s="130"/>
      <c r="T3" s="130" t="s">
        <v>292</v>
      </c>
      <c r="U3" s="130"/>
      <c r="V3" s="130"/>
      <c r="W3" s="130" t="s">
        <v>292</v>
      </c>
      <c r="X3" s="130"/>
      <c r="Y3" s="130"/>
    </row>
    <row r="4" spans="2:25" x14ac:dyDescent="0.25">
      <c r="B4" s="7" t="s">
        <v>165</v>
      </c>
      <c r="C4" s="7" t="s">
        <v>5</v>
      </c>
      <c r="D4" s="7" t="s">
        <v>197</v>
      </c>
      <c r="E4" s="7" t="s">
        <v>301</v>
      </c>
      <c r="F4" s="7" t="s">
        <v>185</v>
      </c>
      <c r="G4" s="7" t="s">
        <v>278</v>
      </c>
      <c r="H4" s="7" t="s">
        <v>282</v>
      </c>
      <c r="I4" s="7" t="s">
        <v>280</v>
      </c>
      <c r="K4" s="131" t="s">
        <v>375</v>
      </c>
      <c r="L4" s="131"/>
      <c r="M4" s="131"/>
      <c r="N4" s="131" t="s">
        <v>381</v>
      </c>
      <c r="O4" s="131"/>
      <c r="P4" s="131"/>
      <c r="Q4" s="131" t="s">
        <v>383</v>
      </c>
      <c r="R4" s="131"/>
      <c r="S4" s="131"/>
      <c r="T4" s="131" t="s">
        <v>379</v>
      </c>
      <c r="U4" s="131"/>
      <c r="V4" s="131"/>
      <c r="W4" s="131" t="s">
        <v>377</v>
      </c>
      <c r="X4" s="131"/>
      <c r="Y4" s="131"/>
    </row>
    <row r="5" spans="2:25" x14ac:dyDescent="0.25">
      <c r="B5" s="8"/>
      <c r="C5" s="9"/>
      <c r="D5" s="9"/>
      <c r="E5" s="9" t="s">
        <v>303</v>
      </c>
      <c r="F5" s="9" t="s">
        <v>187</v>
      </c>
      <c r="G5" s="9" t="s">
        <v>199</v>
      </c>
      <c r="H5" s="9" t="s">
        <v>281</v>
      </c>
      <c r="I5" s="9" t="s">
        <v>283</v>
      </c>
      <c r="K5" s="96" t="s">
        <v>286</v>
      </c>
      <c r="L5" s="96" t="s">
        <v>284</v>
      </c>
      <c r="M5" s="96" t="s">
        <v>287</v>
      </c>
      <c r="N5" s="96" t="s">
        <v>286</v>
      </c>
      <c r="O5" s="96" t="s">
        <v>284</v>
      </c>
      <c r="P5" s="96" t="s">
        <v>287</v>
      </c>
      <c r="Q5" s="96" t="s">
        <v>286</v>
      </c>
      <c r="R5" s="96" t="s">
        <v>284</v>
      </c>
      <c r="S5" s="96" t="s">
        <v>287</v>
      </c>
      <c r="T5" s="96" t="s">
        <v>286</v>
      </c>
      <c r="U5" s="96" t="s">
        <v>284</v>
      </c>
      <c r="V5" s="96" t="s">
        <v>287</v>
      </c>
      <c r="W5" s="96" t="s">
        <v>286</v>
      </c>
      <c r="X5" s="96" t="s">
        <v>284</v>
      </c>
      <c r="Y5" s="96" t="s">
        <v>287</v>
      </c>
    </row>
    <row r="6" spans="2:25" x14ac:dyDescent="0.25">
      <c r="B6" s="6">
        <f>DAYS360("31-12-2009",C6)</f>
        <v>575</v>
      </c>
      <c r="C6" s="5">
        <v>40760</v>
      </c>
      <c r="D6" s="6" t="s">
        <v>375</v>
      </c>
      <c r="E6" s="6" t="s">
        <v>298</v>
      </c>
      <c r="F6" s="33">
        <f>5*24*60</f>
        <v>7200</v>
      </c>
      <c r="G6" s="79" t="s">
        <v>279</v>
      </c>
      <c r="H6" s="79" t="s">
        <v>279</v>
      </c>
      <c r="I6" s="79" t="s">
        <v>279</v>
      </c>
      <c r="K6" s="83" t="s">
        <v>293</v>
      </c>
      <c r="L6" s="83" t="s">
        <v>293</v>
      </c>
      <c r="M6" s="83" t="s">
        <v>293</v>
      </c>
      <c r="N6" s="83" t="s">
        <v>293</v>
      </c>
      <c r="O6" s="83" t="s">
        <v>293</v>
      </c>
      <c r="P6" s="83" t="s">
        <v>293</v>
      </c>
      <c r="Q6" s="83" t="s">
        <v>293</v>
      </c>
      <c r="R6" s="83" t="s">
        <v>293</v>
      </c>
      <c r="S6" s="83" t="s">
        <v>293</v>
      </c>
      <c r="T6" s="83" t="s">
        <v>293</v>
      </c>
      <c r="U6" s="83" t="s">
        <v>293</v>
      </c>
      <c r="V6" s="83" t="s">
        <v>293</v>
      </c>
      <c r="W6" s="83" t="s">
        <v>293</v>
      </c>
      <c r="X6" s="83" t="s">
        <v>293</v>
      </c>
      <c r="Y6" s="83" t="s">
        <v>293</v>
      </c>
    </row>
    <row r="7" spans="2:25" x14ac:dyDescent="0.25">
      <c r="B7" s="6">
        <f t="shared" ref="B7:B8" si="0">DAYS360("31-12-2009",C7)</f>
        <v>916</v>
      </c>
      <c r="C7" s="5">
        <v>41106</v>
      </c>
      <c r="D7" s="6" t="s">
        <v>375</v>
      </c>
      <c r="E7" s="6" t="s">
        <v>296</v>
      </c>
      <c r="F7" s="33">
        <v>60</v>
      </c>
      <c r="G7" s="6">
        <f>C7-C6</f>
        <v>346</v>
      </c>
      <c r="H7" s="6">
        <v>346</v>
      </c>
      <c r="I7" s="6">
        <v>102</v>
      </c>
      <c r="K7" s="6">
        <v>102</v>
      </c>
      <c r="L7" s="6">
        <v>1</v>
      </c>
      <c r="M7" s="83">
        <f>($M$10-L7+0.625)/($M$10+0.25)</f>
        <v>0.72222222222222221</v>
      </c>
      <c r="N7" s="6">
        <v>232</v>
      </c>
      <c r="O7" s="6">
        <v>1</v>
      </c>
      <c r="P7" s="83">
        <f>($P$10-O7+0.625)/($P$10+0.25)</f>
        <v>0.72222222222222221</v>
      </c>
      <c r="Q7" s="6">
        <v>24</v>
      </c>
      <c r="R7" s="33">
        <v>1</v>
      </c>
      <c r="S7" s="83">
        <f>($S$13-R7+0.625)/($S$13+0.25)</f>
        <v>0.88095238095238093</v>
      </c>
      <c r="T7" s="6">
        <v>69</v>
      </c>
      <c r="U7" s="33">
        <v>1</v>
      </c>
      <c r="V7" s="83">
        <f>($V$14-U7+0.625)/($V$14+0.25)</f>
        <v>0.9</v>
      </c>
      <c r="W7" s="95">
        <v>14</v>
      </c>
      <c r="X7" s="33">
        <v>1</v>
      </c>
      <c r="Y7" s="83">
        <f>($Y$11-X7+0.625)/($Y$11+0.25)</f>
        <v>0.80769230769230771</v>
      </c>
    </row>
    <row r="8" spans="2:25" x14ac:dyDescent="0.25">
      <c r="B8" s="6">
        <f t="shared" si="0"/>
        <v>1016</v>
      </c>
      <c r="C8" s="5">
        <v>41208</v>
      </c>
      <c r="D8" s="6" t="s">
        <v>375</v>
      </c>
      <c r="E8" s="6" t="s">
        <v>297</v>
      </c>
      <c r="F8" s="33">
        <v>360</v>
      </c>
      <c r="G8" s="6">
        <f t="shared" ref="G8:G31" si="1">C8-C7</f>
        <v>102</v>
      </c>
      <c r="H8" s="6">
        <v>102</v>
      </c>
      <c r="I8" s="6">
        <v>175</v>
      </c>
      <c r="K8" s="6">
        <v>175</v>
      </c>
      <c r="L8" s="6">
        <v>2</v>
      </c>
      <c r="M8" s="83">
        <f>($M$10-L8+0.625)/($M$10+0.25)</f>
        <v>0.27777777777777779</v>
      </c>
      <c r="N8" s="6">
        <v>342</v>
      </c>
      <c r="O8" s="6">
        <v>2</v>
      </c>
      <c r="P8" s="83">
        <f>($P$10-O8+0.625)/($P$10+0.25)</f>
        <v>0.27777777777777779</v>
      </c>
      <c r="Q8" s="6">
        <v>148</v>
      </c>
      <c r="R8" s="33">
        <v>2</v>
      </c>
      <c r="S8" s="83">
        <f>($S$13-R8+0.625)/($S$13+0.25)</f>
        <v>0.69047619047619047</v>
      </c>
      <c r="T8" s="6">
        <v>165</v>
      </c>
      <c r="U8" s="33">
        <v>2</v>
      </c>
      <c r="V8" s="83">
        <f t="shared" ref="V8:V12" si="2">($V$14-U8+0.625)/($V$14+0.25)</f>
        <v>0.74</v>
      </c>
      <c r="W8" s="95">
        <v>500</v>
      </c>
      <c r="X8" s="33">
        <v>2</v>
      </c>
      <c r="Y8" s="83">
        <f>($Y$11-X8+0.625)/($Y$11+0.25)</f>
        <v>0.5</v>
      </c>
    </row>
    <row r="9" spans="2:25" x14ac:dyDescent="0.25">
      <c r="B9" s="6">
        <f>DAYS360("31-12-2009",C9)</f>
        <v>1620</v>
      </c>
      <c r="C9" s="5">
        <v>41820</v>
      </c>
      <c r="D9" s="6" t="s">
        <v>375</v>
      </c>
      <c r="E9" s="6" t="s">
        <v>296</v>
      </c>
      <c r="F9" s="6">
        <v>690</v>
      </c>
      <c r="G9" s="6">
        <f t="shared" si="1"/>
        <v>612</v>
      </c>
      <c r="H9" s="6">
        <v>612</v>
      </c>
      <c r="I9" s="6">
        <v>225</v>
      </c>
      <c r="K9" s="6">
        <v>225</v>
      </c>
      <c r="Q9" s="6">
        <v>236</v>
      </c>
      <c r="R9" s="6">
        <v>3</v>
      </c>
      <c r="S9" s="83">
        <f>($S$13-R9+0.625)/($S$13+0.25)</f>
        <v>0.5</v>
      </c>
      <c r="T9" s="6">
        <v>175</v>
      </c>
      <c r="U9" s="6">
        <v>3</v>
      </c>
      <c r="V9" s="83">
        <f t="shared" si="2"/>
        <v>0.57999999999999996</v>
      </c>
      <c r="W9" s="95">
        <v>1067</v>
      </c>
      <c r="X9" s="33">
        <v>3</v>
      </c>
      <c r="Y9" s="83">
        <f>($Y$11-X9+0.625)/($Y$11+0.25)</f>
        <v>0.19230769230769232</v>
      </c>
    </row>
    <row r="10" spans="2:25" x14ac:dyDescent="0.25">
      <c r="B10" s="6">
        <f>DAYS360("31-12-2009",C10)</f>
        <v>1840</v>
      </c>
      <c r="C10" s="5">
        <v>42045</v>
      </c>
      <c r="D10" s="6" t="s">
        <v>375</v>
      </c>
      <c r="E10" s="6" t="s">
        <v>297</v>
      </c>
      <c r="F10" s="30">
        <v>45</v>
      </c>
      <c r="G10" s="6">
        <f t="shared" si="1"/>
        <v>225</v>
      </c>
      <c r="H10" s="6">
        <v>225</v>
      </c>
      <c r="I10" s="6">
        <v>346</v>
      </c>
      <c r="K10" s="6">
        <v>346</v>
      </c>
      <c r="L10" s="80" t="s">
        <v>285</v>
      </c>
      <c r="M10" s="81">
        <f>COUNT(L7:L8)</f>
        <v>2</v>
      </c>
      <c r="O10" s="80" t="s">
        <v>285</v>
      </c>
      <c r="P10" s="81">
        <f>COUNT(O7:O8)</f>
        <v>2</v>
      </c>
      <c r="Q10" s="6">
        <v>363</v>
      </c>
      <c r="R10" s="6">
        <v>4</v>
      </c>
      <c r="S10" s="83">
        <f>($S$13-R10+0.625)/($S$13+0.25)</f>
        <v>0.30952380952380953</v>
      </c>
      <c r="T10" s="6">
        <v>263</v>
      </c>
      <c r="U10" s="6">
        <v>4</v>
      </c>
      <c r="V10" s="83">
        <f t="shared" si="2"/>
        <v>0.42</v>
      </c>
    </row>
    <row r="11" spans="2:25" x14ac:dyDescent="0.25">
      <c r="B11" s="6">
        <f>DAYS360("31-12-2009",C11)</f>
        <v>2014</v>
      </c>
      <c r="C11" s="5">
        <v>42220</v>
      </c>
      <c r="D11" s="6" t="s">
        <v>375</v>
      </c>
      <c r="E11" s="6" t="s">
        <v>296</v>
      </c>
      <c r="F11" s="30">
        <f>21*60</f>
        <v>1260</v>
      </c>
      <c r="G11" s="6">
        <f t="shared" si="1"/>
        <v>175</v>
      </c>
      <c r="H11" s="6">
        <v>175</v>
      </c>
      <c r="I11" s="6">
        <v>612</v>
      </c>
      <c r="K11" s="6">
        <v>612</v>
      </c>
      <c r="Q11" s="6">
        <v>597</v>
      </c>
      <c r="R11" s="6">
        <v>5</v>
      </c>
      <c r="S11" s="83">
        <f>($S$13-R11+0.625)/($S$13+0.25)</f>
        <v>0.11904761904761904</v>
      </c>
      <c r="T11" s="6">
        <v>360</v>
      </c>
      <c r="U11" s="6">
        <v>5</v>
      </c>
      <c r="V11" s="83">
        <f t="shared" si="2"/>
        <v>0.26</v>
      </c>
      <c r="X11" s="80" t="s">
        <v>285</v>
      </c>
      <c r="Y11" s="81">
        <f>COUNT(X7:X9)</f>
        <v>3</v>
      </c>
    </row>
    <row r="12" spans="2:25" x14ac:dyDescent="0.25">
      <c r="B12" s="6">
        <f>DAYS360("31-12-2009",C12)</f>
        <v>575</v>
      </c>
      <c r="C12" s="5">
        <v>40760</v>
      </c>
      <c r="D12" s="6" t="s">
        <v>381</v>
      </c>
      <c r="E12" s="6" t="s">
        <v>298</v>
      </c>
      <c r="F12" s="33">
        <f>5*24*60</f>
        <v>7200</v>
      </c>
      <c r="G12" s="79" t="s">
        <v>279</v>
      </c>
      <c r="H12" s="79" t="s">
        <v>279</v>
      </c>
      <c r="I12" s="79" t="s">
        <v>279</v>
      </c>
      <c r="T12" s="6">
        <v>420</v>
      </c>
      <c r="U12" s="6">
        <v>6</v>
      </c>
      <c r="V12" s="83">
        <f t="shared" si="2"/>
        <v>0.1</v>
      </c>
    </row>
    <row r="13" spans="2:25" x14ac:dyDescent="0.25">
      <c r="B13" s="6">
        <f>DAYS360("31-12-2009",C13)</f>
        <v>912</v>
      </c>
      <c r="C13" s="5">
        <v>41102</v>
      </c>
      <c r="D13" s="6" t="s">
        <v>381</v>
      </c>
      <c r="E13" s="6" t="s">
        <v>297</v>
      </c>
      <c r="F13" s="33">
        <v>120</v>
      </c>
      <c r="G13" s="6">
        <f t="shared" si="1"/>
        <v>342</v>
      </c>
      <c r="H13" s="6">
        <v>342</v>
      </c>
      <c r="I13" s="6">
        <v>232</v>
      </c>
      <c r="R13" s="80" t="s">
        <v>285</v>
      </c>
      <c r="S13" s="81">
        <f>COUNT(R7:R11)</f>
        <v>5</v>
      </c>
    </row>
    <row r="14" spans="2:25" x14ac:dyDescent="0.25">
      <c r="B14" s="33">
        <v>1141</v>
      </c>
      <c r="C14" s="5">
        <v>41334</v>
      </c>
      <c r="D14" s="6" t="s">
        <v>381</v>
      </c>
      <c r="E14" s="6" t="s">
        <v>296</v>
      </c>
      <c r="F14" s="33">
        <f>9*60+30</f>
        <v>570</v>
      </c>
      <c r="G14" s="6">
        <f t="shared" si="1"/>
        <v>232</v>
      </c>
      <c r="H14" s="6">
        <v>232</v>
      </c>
      <c r="I14" s="6">
        <v>342</v>
      </c>
      <c r="U14" s="80" t="s">
        <v>285</v>
      </c>
      <c r="V14" s="81">
        <f>COUNT(U7:U12)</f>
        <v>6</v>
      </c>
    </row>
    <row r="15" spans="2:25" x14ac:dyDescent="0.25">
      <c r="B15" s="6">
        <f t="shared" ref="B15:B31" si="3">DAYS360("31-12-2009",C15)</f>
        <v>575</v>
      </c>
      <c r="C15" s="5">
        <v>40760</v>
      </c>
      <c r="D15" s="6" t="s">
        <v>383</v>
      </c>
      <c r="E15" s="6" t="s">
        <v>298</v>
      </c>
      <c r="F15" s="33">
        <f>5*24*60</f>
        <v>7200</v>
      </c>
      <c r="G15" s="79" t="s">
        <v>279</v>
      </c>
      <c r="H15" s="79" t="s">
        <v>279</v>
      </c>
      <c r="I15" s="79" t="s">
        <v>279</v>
      </c>
    </row>
    <row r="16" spans="2:25" x14ac:dyDescent="0.25">
      <c r="B16" s="6">
        <f t="shared" si="3"/>
        <v>599</v>
      </c>
      <c r="C16" s="5">
        <v>40784</v>
      </c>
      <c r="D16" s="6" t="s">
        <v>383</v>
      </c>
      <c r="E16" s="6" t="s">
        <v>297</v>
      </c>
      <c r="F16" s="33">
        <v>180</v>
      </c>
      <c r="G16" s="6">
        <f t="shared" si="1"/>
        <v>24</v>
      </c>
      <c r="H16" s="6">
        <v>24</v>
      </c>
      <c r="I16" s="6">
        <v>24</v>
      </c>
    </row>
    <row r="17" spans="2:11" x14ac:dyDescent="0.25">
      <c r="B17" s="6">
        <f t="shared" si="3"/>
        <v>1187</v>
      </c>
      <c r="C17" s="5">
        <v>41381</v>
      </c>
      <c r="D17" s="6" t="s">
        <v>383</v>
      </c>
      <c r="E17" s="6" t="s">
        <v>296</v>
      </c>
      <c r="F17" s="33">
        <v>360</v>
      </c>
      <c r="G17" s="6">
        <f t="shared" si="1"/>
        <v>597</v>
      </c>
      <c r="H17" s="6">
        <v>597</v>
      </c>
      <c r="I17" s="6">
        <v>148</v>
      </c>
    </row>
    <row r="18" spans="2:11" x14ac:dyDescent="0.25">
      <c r="B18" s="6">
        <f t="shared" si="3"/>
        <v>1419</v>
      </c>
      <c r="C18" s="5">
        <v>41617</v>
      </c>
      <c r="D18" s="6" t="s">
        <v>383</v>
      </c>
      <c r="E18" s="6" t="s">
        <v>297</v>
      </c>
      <c r="F18" s="33">
        <f>11*60</f>
        <v>660</v>
      </c>
      <c r="G18" s="6">
        <f t="shared" si="1"/>
        <v>236</v>
      </c>
      <c r="H18" s="6">
        <v>236</v>
      </c>
      <c r="I18" s="6">
        <v>236</v>
      </c>
    </row>
    <row r="19" spans="2:11" x14ac:dyDescent="0.25">
      <c r="B19" s="6">
        <f t="shared" si="3"/>
        <v>1566</v>
      </c>
      <c r="C19" s="5">
        <v>41765</v>
      </c>
      <c r="D19" s="6" t="s">
        <v>383</v>
      </c>
      <c r="E19" s="6" t="s">
        <v>296</v>
      </c>
      <c r="F19" s="6">
        <v>360</v>
      </c>
      <c r="G19" s="6">
        <f t="shared" si="1"/>
        <v>148</v>
      </c>
      <c r="H19" s="6">
        <v>148</v>
      </c>
      <c r="I19" s="6">
        <v>363</v>
      </c>
    </row>
    <row r="20" spans="2:11" x14ac:dyDescent="0.25">
      <c r="B20" s="6">
        <f t="shared" si="3"/>
        <v>1924</v>
      </c>
      <c r="C20" s="5">
        <v>42128</v>
      </c>
      <c r="D20" s="6" t="s">
        <v>383</v>
      </c>
      <c r="E20" s="6" t="s">
        <v>296</v>
      </c>
      <c r="F20" s="30">
        <v>360</v>
      </c>
      <c r="G20" s="6">
        <f t="shared" si="1"/>
        <v>363</v>
      </c>
      <c r="H20" s="6">
        <v>363</v>
      </c>
      <c r="I20" s="6">
        <v>597</v>
      </c>
      <c r="K20" t="s">
        <v>294</v>
      </c>
    </row>
    <row r="21" spans="2:11" x14ac:dyDescent="0.25">
      <c r="B21" s="6">
        <f t="shared" si="3"/>
        <v>220</v>
      </c>
      <c r="C21" s="5">
        <v>40400</v>
      </c>
      <c r="D21" s="6" t="s">
        <v>379</v>
      </c>
      <c r="E21" s="6" t="s">
        <v>298</v>
      </c>
      <c r="F21" s="34">
        <v>180</v>
      </c>
      <c r="G21" s="79" t="s">
        <v>279</v>
      </c>
      <c r="H21" s="79" t="s">
        <v>279</v>
      </c>
      <c r="I21" s="79" t="s">
        <v>279</v>
      </c>
    </row>
    <row r="22" spans="2:11" x14ac:dyDescent="0.25">
      <c r="B22" s="6">
        <f t="shared" si="3"/>
        <v>575</v>
      </c>
      <c r="C22" s="5">
        <v>40760</v>
      </c>
      <c r="D22" s="6" t="s">
        <v>379</v>
      </c>
      <c r="E22" s="6" t="s">
        <v>298</v>
      </c>
      <c r="F22" s="33">
        <f>5*24*60</f>
        <v>7200</v>
      </c>
      <c r="G22" s="6">
        <f t="shared" si="1"/>
        <v>360</v>
      </c>
      <c r="H22" s="6">
        <v>360</v>
      </c>
      <c r="I22" s="6">
        <v>69</v>
      </c>
      <c r="K22" t="s">
        <v>288</v>
      </c>
    </row>
    <row r="23" spans="2:11" x14ac:dyDescent="0.25">
      <c r="B23" s="6">
        <f t="shared" si="3"/>
        <v>747</v>
      </c>
      <c r="C23" s="5">
        <v>40935</v>
      </c>
      <c r="D23" s="6" t="s">
        <v>379</v>
      </c>
      <c r="E23" s="6" t="s">
        <v>297</v>
      </c>
      <c r="F23" s="33">
        <v>240</v>
      </c>
      <c r="G23" s="6">
        <f t="shared" si="1"/>
        <v>175</v>
      </c>
      <c r="H23" s="6">
        <v>175</v>
      </c>
      <c r="I23" s="6">
        <v>165</v>
      </c>
    </row>
    <row r="24" spans="2:11" x14ac:dyDescent="0.25">
      <c r="B24" s="6">
        <f t="shared" si="3"/>
        <v>910</v>
      </c>
      <c r="C24" s="5">
        <v>41100</v>
      </c>
      <c r="D24" s="6" t="s">
        <v>379</v>
      </c>
      <c r="E24" s="6" t="s">
        <v>297</v>
      </c>
      <c r="F24" s="33">
        <v>120</v>
      </c>
      <c r="G24" s="6">
        <f t="shared" si="1"/>
        <v>165</v>
      </c>
      <c r="H24" s="6">
        <v>165</v>
      </c>
      <c r="I24" s="6">
        <v>175</v>
      </c>
      <c r="K24" t="s">
        <v>289</v>
      </c>
    </row>
    <row r="25" spans="2:11" x14ac:dyDescent="0.25">
      <c r="B25" s="6">
        <f t="shared" si="3"/>
        <v>977</v>
      </c>
      <c r="C25" s="5">
        <v>41169</v>
      </c>
      <c r="D25" s="6" t="s">
        <v>379</v>
      </c>
      <c r="E25" s="6" t="s">
        <v>296</v>
      </c>
      <c r="F25" s="33">
        <v>60</v>
      </c>
      <c r="G25" s="6">
        <f t="shared" si="1"/>
        <v>69</v>
      </c>
      <c r="H25" s="6">
        <v>69</v>
      </c>
      <c r="I25" s="6">
        <v>263</v>
      </c>
    </row>
    <row r="26" spans="2:11" x14ac:dyDescent="0.25">
      <c r="B26" s="6">
        <f t="shared" si="3"/>
        <v>1237</v>
      </c>
      <c r="C26" s="5">
        <v>41432</v>
      </c>
      <c r="D26" s="6" t="s">
        <v>379</v>
      </c>
      <c r="E26" s="6" t="s">
        <v>297</v>
      </c>
      <c r="F26" s="33">
        <v>630</v>
      </c>
      <c r="G26" s="6">
        <f t="shared" si="1"/>
        <v>263</v>
      </c>
      <c r="H26" s="6">
        <v>263</v>
      </c>
      <c r="I26" s="6">
        <v>360</v>
      </c>
      <c r="K26" t="s">
        <v>290</v>
      </c>
    </row>
    <row r="27" spans="2:11" x14ac:dyDescent="0.25">
      <c r="B27" s="6">
        <f t="shared" si="3"/>
        <v>1651</v>
      </c>
      <c r="C27" s="5">
        <v>41852</v>
      </c>
      <c r="D27" s="6" t="s">
        <v>379</v>
      </c>
      <c r="E27" s="6" t="s">
        <v>296</v>
      </c>
      <c r="F27" s="6">
        <v>240</v>
      </c>
      <c r="G27" s="6">
        <f t="shared" si="1"/>
        <v>420</v>
      </c>
      <c r="H27" s="6">
        <v>420</v>
      </c>
      <c r="I27" s="6">
        <v>420</v>
      </c>
      <c r="K27" t="s">
        <v>291</v>
      </c>
    </row>
    <row r="28" spans="2:11" x14ac:dyDescent="0.25">
      <c r="B28" s="6">
        <f t="shared" si="3"/>
        <v>575</v>
      </c>
      <c r="C28" s="5">
        <v>40760</v>
      </c>
      <c r="D28" s="6" t="s">
        <v>377</v>
      </c>
      <c r="E28" s="6" t="s">
        <v>298</v>
      </c>
      <c r="F28" s="33">
        <f>5*24*60</f>
        <v>7200</v>
      </c>
      <c r="G28" s="79" t="s">
        <v>279</v>
      </c>
      <c r="H28" s="79" t="s">
        <v>279</v>
      </c>
      <c r="I28" s="79" t="s">
        <v>279</v>
      </c>
    </row>
    <row r="29" spans="2:11" x14ac:dyDescent="0.25">
      <c r="B29" s="6">
        <f t="shared" si="3"/>
        <v>1627</v>
      </c>
      <c r="C29" s="5">
        <v>41827</v>
      </c>
      <c r="D29" s="6" t="s">
        <v>377</v>
      </c>
      <c r="E29" s="6" t="s">
        <v>297</v>
      </c>
      <c r="F29" s="6">
        <v>44640</v>
      </c>
      <c r="G29" s="6">
        <f t="shared" si="1"/>
        <v>1067</v>
      </c>
      <c r="H29" s="6">
        <v>1067</v>
      </c>
      <c r="I29" s="6">
        <v>14</v>
      </c>
    </row>
    <row r="30" spans="2:11" x14ac:dyDescent="0.25">
      <c r="B30" s="6">
        <f t="shared" si="3"/>
        <v>2119</v>
      </c>
      <c r="C30" s="5">
        <v>42327</v>
      </c>
      <c r="D30" s="6" t="s">
        <v>377</v>
      </c>
      <c r="E30" s="6" t="s">
        <v>296</v>
      </c>
      <c r="F30" s="30">
        <f>5*25*60</f>
        <v>7500</v>
      </c>
      <c r="G30" s="6">
        <f t="shared" si="1"/>
        <v>500</v>
      </c>
      <c r="H30" s="6">
        <v>500</v>
      </c>
      <c r="I30" s="6">
        <v>500</v>
      </c>
    </row>
    <row r="31" spans="2:11" x14ac:dyDescent="0.25">
      <c r="B31" s="6">
        <f t="shared" si="3"/>
        <v>2133</v>
      </c>
      <c r="C31" s="5">
        <v>42341</v>
      </c>
      <c r="D31" s="6" t="s">
        <v>377</v>
      </c>
      <c r="E31" s="6" t="s">
        <v>297</v>
      </c>
      <c r="F31" s="30">
        <v>180</v>
      </c>
      <c r="G31" s="6">
        <f t="shared" si="1"/>
        <v>14</v>
      </c>
      <c r="H31" s="6">
        <v>14</v>
      </c>
      <c r="I31" s="6">
        <v>1067</v>
      </c>
    </row>
    <row r="32" spans="2:11" x14ac:dyDescent="0.25">
      <c r="B32" s="60"/>
      <c r="C32" s="60"/>
      <c r="D32" s="61"/>
      <c r="E32" s="61"/>
      <c r="F32" s="60"/>
    </row>
    <row r="34" spans="2:6" x14ac:dyDescent="0.25">
      <c r="B34" s="132" t="s">
        <v>295</v>
      </c>
      <c r="C34" s="133"/>
      <c r="D34" s="134"/>
    </row>
    <row r="35" spans="2:6" x14ac:dyDescent="0.25">
      <c r="B35" s="98" t="s">
        <v>296</v>
      </c>
      <c r="C35" s="135" t="s">
        <v>299</v>
      </c>
      <c r="D35" s="135"/>
    </row>
    <row r="36" spans="2:6" x14ac:dyDescent="0.25">
      <c r="B36" s="98" t="s">
        <v>297</v>
      </c>
      <c r="C36" s="135" t="s">
        <v>300</v>
      </c>
      <c r="D36" s="135"/>
    </row>
    <row r="37" spans="2:6" x14ac:dyDescent="0.25">
      <c r="B37" s="98" t="s">
        <v>298</v>
      </c>
      <c r="C37" s="135" t="s">
        <v>302</v>
      </c>
      <c r="D37" s="135"/>
    </row>
    <row r="42" spans="2:6" x14ac:dyDescent="0.25">
      <c r="B42" s="60"/>
      <c r="C42" s="60"/>
      <c r="D42" s="60"/>
      <c r="E42" s="60"/>
      <c r="F42" s="60"/>
    </row>
    <row r="43" spans="2:6" x14ac:dyDescent="0.25">
      <c r="B43" s="60"/>
      <c r="C43" s="60"/>
      <c r="D43" s="60"/>
      <c r="E43" s="60"/>
      <c r="F43" s="60"/>
    </row>
    <row r="51" spans="2:6" x14ac:dyDescent="0.25">
      <c r="B51" s="60"/>
      <c r="C51" s="60"/>
      <c r="D51" s="60"/>
      <c r="E51" s="60"/>
      <c r="F51" s="60"/>
    </row>
  </sheetData>
  <sheetProtection sheet="1" objects="1" scenarios="1"/>
  <mergeCells count="15">
    <mergeCell ref="C36:D36"/>
    <mergeCell ref="C37:D37"/>
    <mergeCell ref="B34:D34"/>
    <mergeCell ref="K4:M4"/>
    <mergeCell ref="N4:P4"/>
    <mergeCell ref="Q4:S4"/>
    <mergeCell ref="T4:V4"/>
    <mergeCell ref="W4:Y4"/>
    <mergeCell ref="C35:D35"/>
    <mergeCell ref="B2:I3"/>
    <mergeCell ref="K3:M3"/>
    <mergeCell ref="N3:P3"/>
    <mergeCell ref="Q3:S3"/>
    <mergeCell ref="T3:V3"/>
    <mergeCell ref="W3:Y3"/>
  </mergeCells>
  <pageMargins left="0.7" right="0.7" top="0.75" bottom="0.75" header="0.3" footer="0.3"/>
  <pageSetup paperSize="9" orientation="portrait" r:id="rId1"/>
  <drawing r:id="rId2"/>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B2:W50"/>
  <sheetViews>
    <sheetView zoomScale="85" zoomScaleNormal="85" workbookViewId="0">
      <selection activeCell="N45" sqref="N45"/>
    </sheetView>
  </sheetViews>
  <sheetFormatPr defaultRowHeight="15" x14ac:dyDescent="0.25"/>
  <cols>
    <col min="1" max="1" width="3" customWidth="1"/>
    <col min="2" max="2" width="10.42578125" bestFit="1" customWidth="1"/>
    <col min="3" max="3" width="12" bestFit="1" customWidth="1"/>
    <col min="4" max="4" width="20.42578125" bestFit="1" customWidth="1"/>
    <col min="5" max="5" width="7.140625" bestFit="1" customWidth="1"/>
    <col min="6" max="6" width="10.85546875" bestFit="1" customWidth="1"/>
    <col min="7" max="7" width="14.85546875" bestFit="1" customWidth="1"/>
    <col min="8" max="10" width="11.42578125" bestFit="1" customWidth="1"/>
    <col min="11" max="11" width="12.28515625" bestFit="1" customWidth="1"/>
    <col min="12" max="12" width="13.7109375" bestFit="1" customWidth="1"/>
    <col min="13" max="15" width="12.28515625" bestFit="1" customWidth="1"/>
    <col min="16" max="16" width="14" bestFit="1" customWidth="1"/>
  </cols>
  <sheetData>
    <row r="2" spans="2:23" ht="15" customHeight="1" x14ac:dyDescent="0.25">
      <c r="B2" s="124" t="s">
        <v>345</v>
      </c>
      <c r="C2" s="125"/>
      <c r="D2" s="125"/>
      <c r="E2" s="125"/>
      <c r="F2" s="125"/>
      <c r="G2" s="125"/>
      <c r="H2" s="125"/>
      <c r="I2" s="125"/>
      <c r="J2" s="125"/>
      <c r="K2" s="125"/>
      <c r="L2" s="125"/>
      <c r="M2" s="125"/>
      <c r="N2" s="125"/>
      <c r="O2" s="125"/>
      <c r="P2" s="126"/>
    </row>
    <row r="3" spans="2:23" x14ac:dyDescent="0.25">
      <c r="B3" s="127"/>
      <c r="C3" s="128"/>
      <c r="D3" s="128"/>
      <c r="E3" s="128"/>
      <c r="F3" s="128"/>
      <c r="G3" s="128"/>
      <c r="H3" s="128"/>
      <c r="I3" s="128"/>
      <c r="J3" s="128"/>
      <c r="K3" s="128"/>
      <c r="L3" s="128"/>
      <c r="M3" s="128"/>
      <c r="N3" s="128"/>
      <c r="O3" s="128"/>
      <c r="P3" s="129"/>
    </row>
    <row r="4" spans="2:23" x14ac:dyDescent="0.25">
      <c r="B4" s="7" t="s">
        <v>165</v>
      </c>
      <c r="C4" s="7" t="s">
        <v>5</v>
      </c>
      <c r="D4" s="7" t="s">
        <v>197</v>
      </c>
      <c r="E4" s="7" t="s">
        <v>185</v>
      </c>
      <c r="F4" s="7" t="s">
        <v>191</v>
      </c>
      <c r="G4" s="7" t="s">
        <v>192</v>
      </c>
      <c r="H4" s="7" t="s">
        <v>198</v>
      </c>
      <c r="I4" s="7" t="s">
        <v>198</v>
      </c>
      <c r="J4" s="7" t="s">
        <v>224</v>
      </c>
      <c r="K4" s="7" t="s">
        <v>238</v>
      </c>
      <c r="L4" s="7" t="s">
        <v>236</v>
      </c>
      <c r="M4" s="41" t="s">
        <v>208</v>
      </c>
      <c r="N4" s="41" t="s">
        <v>230</v>
      </c>
      <c r="O4" s="41" t="s">
        <v>231</v>
      </c>
      <c r="P4" s="41" t="s">
        <v>211</v>
      </c>
    </row>
    <row r="5" spans="2:23" x14ac:dyDescent="0.25">
      <c r="B5" s="8"/>
      <c r="C5" s="9"/>
      <c r="D5" s="9"/>
      <c r="E5" s="9" t="s">
        <v>187</v>
      </c>
      <c r="F5" s="9"/>
      <c r="G5" s="9" t="s">
        <v>187</v>
      </c>
      <c r="H5" s="9" t="s">
        <v>187</v>
      </c>
      <c r="I5" s="9" t="s">
        <v>199</v>
      </c>
      <c r="J5" s="9" t="s">
        <v>187</v>
      </c>
      <c r="K5" s="9" t="s">
        <v>237</v>
      </c>
      <c r="L5" s="9" t="s">
        <v>237</v>
      </c>
      <c r="M5" s="42" t="s">
        <v>257</v>
      </c>
      <c r="N5" s="42" t="s">
        <v>257</v>
      </c>
      <c r="O5" s="42" t="s">
        <v>257</v>
      </c>
      <c r="P5" s="42" t="s">
        <v>257</v>
      </c>
    </row>
    <row r="6" spans="2:23" x14ac:dyDescent="0.25">
      <c r="B6" s="6">
        <f>DAYS360("31-12-2009",C6)</f>
        <v>400</v>
      </c>
      <c r="C6" s="5">
        <v>40584</v>
      </c>
      <c r="D6" s="6" t="s">
        <v>405</v>
      </c>
      <c r="E6" s="33">
        <v>180</v>
      </c>
      <c r="F6" s="31"/>
      <c r="G6" s="31"/>
      <c r="H6" s="31"/>
      <c r="I6" s="31"/>
      <c r="J6" s="31"/>
      <c r="K6" s="31"/>
      <c r="L6" s="31"/>
      <c r="M6" s="31"/>
      <c r="N6" s="31"/>
      <c r="O6" s="31"/>
      <c r="P6" s="31"/>
    </row>
    <row r="7" spans="2:23" x14ac:dyDescent="0.25">
      <c r="B7" s="6">
        <f>DAYS360("31-12-2009",C7)</f>
        <v>614</v>
      </c>
      <c r="C7" s="5">
        <v>40800</v>
      </c>
      <c r="D7" s="6" t="s">
        <v>405</v>
      </c>
      <c r="E7" s="33">
        <v>240</v>
      </c>
      <c r="F7" s="6">
        <f>COUNT(E6:E7)</f>
        <v>2</v>
      </c>
      <c r="G7" s="6">
        <f>SUM(E6:E7)</f>
        <v>420</v>
      </c>
      <c r="H7" s="6">
        <f>(518400-G7)/F7</f>
        <v>258990</v>
      </c>
      <c r="I7" s="6">
        <f>INT(H7/60/24)</f>
        <v>179</v>
      </c>
      <c r="J7" s="6">
        <f>G7/F7</f>
        <v>210</v>
      </c>
      <c r="K7" s="6">
        <f>G7-E8</f>
        <v>210</v>
      </c>
      <c r="L7" s="33">
        <f>SQRT((K7*K7)/COUNT(B6:B7))</f>
        <v>148.49242404917499</v>
      </c>
      <c r="M7" s="6">
        <f>F7/(365*5)</f>
        <v>1.095890410958904E-3</v>
      </c>
      <c r="N7" s="6">
        <f>M7*EXP(-M7*(365*5))</f>
        <v>1.4831263916341119E-4</v>
      </c>
      <c r="O7" s="6">
        <f>1-EXP(-M7*(365*5))</f>
        <v>0.8646647167633873</v>
      </c>
      <c r="P7" s="6">
        <f>EXP(-M7*(365*5))</f>
        <v>0.13533528323661273</v>
      </c>
    </row>
    <row r="8" spans="2:23" x14ac:dyDescent="0.25">
      <c r="B8" s="31"/>
      <c r="C8" s="31"/>
      <c r="D8" s="43" t="s">
        <v>235</v>
      </c>
      <c r="E8" s="6">
        <f>AVERAGE(E6:E7)</f>
        <v>210</v>
      </c>
      <c r="F8" s="31"/>
      <c r="G8" s="31"/>
      <c r="H8" s="31"/>
      <c r="I8" s="31"/>
      <c r="J8" s="31"/>
      <c r="K8" s="31"/>
      <c r="L8" s="31"/>
      <c r="M8" s="31"/>
      <c r="N8" s="31"/>
      <c r="O8" s="31"/>
      <c r="P8" s="31"/>
    </row>
    <row r="9" spans="2:23" x14ac:dyDescent="0.25">
      <c r="E9" s="61"/>
      <c r="F9" s="11"/>
    </row>
    <row r="10" spans="2:23" x14ac:dyDescent="0.25">
      <c r="B10" s="32" t="s">
        <v>193</v>
      </c>
      <c r="E10" s="61"/>
      <c r="F10" s="11"/>
    </row>
    <row r="11" spans="2:23" x14ac:dyDescent="0.25">
      <c r="B11" t="s">
        <v>256</v>
      </c>
    </row>
    <row r="12" spans="2:23" x14ac:dyDescent="0.25">
      <c r="B12" t="s">
        <v>258</v>
      </c>
    </row>
    <row r="13" spans="2:23" x14ac:dyDescent="0.25">
      <c r="R13" s="60"/>
      <c r="S13" s="60"/>
      <c r="T13" s="60"/>
      <c r="U13" s="60"/>
      <c r="V13" s="60"/>
      <c r="W13" s="60"/>
    </row>
    <row r="14" spans="2:23" x14ac:dyDescent="0.25">
      <c r="B14" s="37" t="s">
        <v>209</v>
      </c>
      <c r="R14" s="60"/>
      <c r="S14" s="60"/>
      <c r="T14" s="60"/>
      <c r="U14" s="60"/>
      <c r="V14" s="60"/>
      <c r="W14" s="60"/>
    </row>
    <row r="15" spans="2:23" x14ac:dyDescent="0.25">
      <c r="B15" s="37" t="s">
        <v>210</v>
      </c>
      <c r="R15" s="60"/>
      <c r="S15" s="60"/>
      <c r="T15" s="60"/>
      <c r="U15" s="60"/>
      <c r="V15" s="60"/>
      <c r="W15" s="60"/>
    </row>
    <row r="16" spans="2:23" x14ac:dyDescent="0.25">
      <c r="B16" s="40" t="s">
        <v>222</v>
      </c>
      <c r="R16" s="60"/>
      <c r="S16" s="60"/>
      <c r="T16" s="60"/>
      <c r="U16" s="60"/>
      <c r="V16" s="60"/>
      <c r="W16" s="60"/>
    </row>
    <row r="17" spans="2:23" x14ac:dyDescent="0.25">
      <c r="B17" s="40" t="s">
        <v>232</v>
      </c>
      <c r="R17" s="60"/>
      <c r="S17" s="60"/>
      <c r="T17" s="60"/>
      <c r="U17" s="60"/>
      <c r="V17" s="60"/>
      <c r="W17" s="60"/>
    </row>
    <row r="18" spans="2:23" x14ac:dyDescent="0.25">
      <c r="B18" s="40"/>
      <c r="R18" s="60"/>
      <c r="S18" s="60"/>
      <c r="T18" s="60"/>
      <c r="U18" s="60"/>
      <c r="V18" s="60"/>
      <c r="W18" s="60"/>
    </row>
    <row r="19" spans="2:23" x14ac:dyDescent="0.25">
      <c r="B19" t="s">
        <v>234</v>
      </c>
      <c r="R19" s="60"/>
      <c r="S19" s="60"/>
      <c r="T19" s="60"/>
      <c r="U19" s="60"/>
      <c r="V19" s="60"/>
      <c r="W19" s="60"/>
    </row>
    <row r="20" spans="2:23" x14ac:dyDescent="0.25">
      <c r="R20" s="60"/>
      <c r="S20" s="60"/>
      <c r="T20" s="60"/>
      <c r="U20" s="60"/>
      <c r="V20" s="60"/>
      <c r="W20" s="60"/>
    </row>
    <row r="21" spans="2:23" x14ac:dyDescent="0.25">
      <c r="B21" t="s">
        <v>225</v>
      </c>
      <c r="R21" s="60"/>
      <c r="S21" s="60"/>
      <c r="T21" s="60"/>
      <c r="U21" s="60"/>
      <c r="V21" s="60"/>
      <c r="W21" s="60"/>
    </row>
    <row r="22" spans="2:23" x14ac:dyDescent="0.25">
      <c r="C22" t="s">
        <v>226</v>
      </c>
      <c r="R22" s="60"/>
      <c r="S22" s="60"/>
      <c r="T22" s="60"/>
      <c r="U22" s="60"/>
      <c r="V22" s="60"/>
      <c r="W22" s="60"/>
    </row>
    <row r="23" spans="2:23" x14ac:dyDescent="0.25">
      <c r="C23" t="s">
        <v>227</v>
      </c>
      <c r="R23" s="60"/>
      <c r="S23" s="60"/>
      <c r="T23" s="60"/>
      <c r="U23" s="60"/>
      <c r="V23" s="60"/>
      <c r="W23" s="60"/>
    </row>
    <row r="24" spans="2:23" x14ac:dyDescent="0.25">
      <c r="C24" t="s">
        <v>228</v>
      </c>
      <c r="R24" s="60"/>
      <c r="S24" s="60"/>
      <c r="T24" s="60"/>
      <c r="U24" s="60"/>
      <c r="V24" s="60"/>
      <c r="W24" s="60"/>
    </row>
    <row r="25" spans="2:23" x14ac:dyDescent="0.25">
      <c r="R25" s="60"/>
      <c r="S25" s="60"/>
      <c r="T25" s="60"/>
      <c r="U25" s="60"/>
      <c r="V25" s="60"/>
      <c r="W25" s="60"/>
    </row>
    <row r="26" spans="2:23" x14ac:dyDescent="0.25">
      <c r="B26" t="s">
        <v>229</v>
      </c>
      <c r="R26" s="60"/>
      <c r="S26" s="60"/>
      <c r="T26" s="60"/>
      <c r="U26" s="60"/>
      <c r="V26" s="60"/>
      <c r="W26" s="60"/>
    </row>
    <row r="27" spans="2:23" x14ac:dyDescent="0.25">
      <c r="R27" s="60"/>
      <c r="S27" s="60"/>
      <c r="T27" s="60"/>
      <c r="U27" s="60"/>
      <c r="V27" s="60"/>
      <c r="W27" s="60"/>
    </row>
    <row r="28" spans="2:23" x14ac:dyDescent="0.25">
      <c r="R28" s="60"/>
      <c r="S28" s="60"/>
      <c r="T28" s="60"/>
      <c r="U28" s="60"/>
      <c r="V28" s="60"/>
      <c r="W28" s="60"/>
    </row>
    <row r="29" spans="2:23" x14ac:dyDescent="0.25">
      <c r="R29" s="60"/>
      <c r="S29" s="60"/>
      <c r="T29" s="60"/>
      <c r="U29" s="60"/>
      <c r="V29" s="60"/>
      <c r="W29" s="60"/>
    </row>
    <row r="30" spans="2:23" x14ac:dyDescent="0.25">
      <c r="R30" s="60"/>
      <c r="S30" s="60"/>
      <c r="T30" s="60"/>
      <c r="U30" s="60"/>
      <c r="V30" s="60"/>
      <c r="W30" s="60"/>
    </row>
    <row r="31" spans="2:23" x14ac:dyDescent="0.25">
      <c r="R31" s="60"/>
      <c r="S31" s="60"/>
      <c r="T31" s="60"/>
      <c r="U31" s="60"/>
      <c r="V31" s="60"/>
      <c r="W31" s="60"/>
    </row>
    <row r="32" spans="2:23" x14ac:dyDescent="0.25">
      <c r="R32" s="60"/>
      <c r="S32" s="60"/>
      <c r="T32" s="60"/>
      <c r="U32" s="60"/>
      <c r="V32" s="60"/>
      <c r="W32" s="60"/>
    </row>
    <row r="33" spans="18:23" x14ac:dyDescent="0.25">
      <c r="R33" s="60"/>
      <c r="S33" s="60"/>
      <c r="T33" s="60"/>
      <c r="U33" s="60"/>
      <c r="V33" s="60"/>
      <c r="W33" s="60"/>
    </row>
    <row r="34" spans="18:23" x14ac:dyDescent="0.25">
      <c r="R34" s="60"/>
      <c r="S34" s="60"/>
      <c r="T34" s="60"/>
      <c r="U34" s="60"/>
      <c r="V34" s="60"/>
      <c r="W34" s="60"/>
    </row>
    <row r="35" spans="18:23" x14ac:dyDescent="0.25">
      <c r="R35" s="60"/>
      <c r="S35" s="60"/>
      <c r="T35" s="60"/>
      <c r="U35" s="60"/>
      <c r="V35" s="60"/>
      <c r="W35" s="60"/>
    </row>
    <row r="36" spans="18:23" x14ac:dyDescent="0.25">
      <c r="R36" s="60"/>
      <c r="S36" s="60"/>
      <c r="T36" s="60"/>
      <c r="U36" s="60"/>
      <c r="V36" s="60"/>
      <c r="W36" s="60"/>
    </row>
    <row r="37" spans="18:23" x14ac:dyDescent="0.25">
      <c r="R37" s="60"/>
      <c r="S37" s="60"/>
      <c r="T37" s="60"/>
      <c r="U37" s="60"/>
      <c r="V37" s="60"/>
      <c r="W37" s="60"/>
    </row>
    <row r="38" spans="18:23" x14ac:dyDescent="0.25">
      <c r="R38" s="60"/>
      <c r="S38" s="60"/>
      <c r="T38" s="60"/>
      <c r="U38" s="60"/>
      <c r="V38" s="60"/>
      <c r="W38" s="60"/>
    </row>
    <row r="39" spans="18:23" x14ac:dyDescent="0.25">
      <c r="R39" s="60"/>
      <c r="S39" s="60"/>
      <c r="T39" s="60"/>
      <c r="U39" s="60"/>
      <c r="V39" s="60"/>
      <c r="W39" s="60"/>
    </row>
    <row r="40" spans="18:23" x14ac:dyDescent="0.25">
      <c r="R40" s="60"/>
      <c r="S40" s="60"/>
      <c r="T40" s="60"/>
      <c r="U40" s="60"/>
      <c r="V40" s="60"/>
      <c r="W40" s="60"/>
    </row>
    <row r="41" spans="18:23" x14ac:dyDescent="0.25">
      <c r="R41" s="60"/>
      <c r="S41" s="60"/>
      <c r="T41" s="60"/>
      <c r="U41" s="60"/>
      <c r="V41" s="60"/>
      <c r="W41" s="60"/>
    </row>
    <row r="42" spans="18:23" x14ac:dyDescent="0.25">
      <c r="R42" s="60"/>
      <c r="S42" s="60"/>
      <c r="T42" s="60"/>
      <c r="U42" s="60"/>
      <c r="V42" s="60"/>
      <c r="W42" s="60"/>
    </row>
    <row r="43" spans="18:23" x14ac:dyDescent="0.25">
      <c r="R43" s="60"/>
      <c r="S43" s="60"/>
      <c r="T43" s="60"/>
      <c r="U43" s="60"/>
      <c r="V43" s="60"/>
      <c r="W43" s="60"/>
    </row>
    <row r="44" spans="18:23" x14ac:dyDescent="0.25">
      <c r="R44" s="60"/>
      <c r="S44" s="60"/>
      <c r="T44" s="60"/>
      <c r="U44" s="60"/>
      <c r="V44" s="60"/>
      <c r="W44" s="60"/>
    </row>
    <row r="45" spans="18:23" x14ac:dyDescent="0.25">
      <c r="R45" s="60"/>
      <c r="S45" s="60"/>
      <c r="T45" s="60"/>
      <c r="U45" s="60"/>
      <c r="V45" s="60"/>
      <c r="W45" s="60"/>
    </row>
    <row r="46" spans="18:23" x14ac:dyDescent="0.25">
      <c r="R46" s="60"/>
      <c r="S46" s="60"/>
      <c r="T46" s="60"/>
      <c r="U46" s="60"/>
      <c r="V46" s="60"/>
      <c r="W46" s="60"/>
    </row>
    <row r="47" spans="18:23" x14ac:dyDescent="0.25">
      <c r="R47" s="60"/>
      <c r="S47" s="60"/>
      <c r="T47" s="60"/>
      <c r="U47" s="60"/>
      <c r="V47" s="60"/>
      <c r="W47" s="60"/>
    </row>
    <row r="48" spans="18:23" x14ac:dyDescent="0.25">
      <c r="R48" s="60"/>
      <c r="S48" s="60"/>
      <c r="T48" s="60"/>
      <c r="U48" s="60"/>
      <c r="V48" s="60"/>
      <c r="W48" s="60"/>
    </row>
    <row r="49" spans="18:23" x14ac:dyDescent="0.25">
      <c r="R49" s="60"/>
      <c r="S49" s="60"/>
      <c r="T49" s="60"/>
      <c r="U49" s="60"/>
      <c r="V49" s="60"/>
      <c r="W49" s="60"/>
    </row>
    <row r="50" spans="18:23" x14ac:dyDescent="0.25">
      <c r="R50" s="60"/>
      <c r="S50" s="60"/>
      <c r="T50" s="60"/>
      <c r="U50" s="60"/>
      <c r="V50" s="60"/>
      <c r="W50" s="60"/>
    </row>
  </sheetData>
  <sheetProtection sheet="1" objects="1" scenarios="1"/>
  <mergeCells count="1">
    <mergeCell ref="B2:P3"/>
  </mergeCells>
  <pageMargins left="0.7" right="0.7" top="0.75" bottom="0.75" header="0.3" footer="0.3"/>
  <drawing r:id="rId1"/>
  <legacy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5"/>
  <sheetViews>
    <sheetView zoomScale="80" zoomScaleNormal="80" workbookViewId="0">
      <selection activeCell="X19" sqref="X19"/>
    </sheetView>
  </sheetViews>
  <sheetFormatPr defaultRowHeight="15" x14ac:dyDescent="0.25"/>
  <sheetData>
    <row r="2" spans="1:5" ht="21" x14ac:dyDescent="0.35">
      <c r="B2" s="36" t="s">
        <v>200</v>
      </c>
      <c r="E2" s="21" t="s">
        <v>207</v>
      </c>
    </row>
    <row r="3" spans="1:5" ht="15" customHeight="1" x14ac:dyDescent="0.35">
      <c r="A3" s="36"/>
    </row>
    <row r="5" spans="1:5" ht="15" customHeight="1" x14ac:dyDescent="0.25"/>
  </sheetData>
  <sheetProtection sheet="1" objects="1" scenarios="1"/>
  <pageMargins left="0.7" right="0.7" top="0.75" bottom="0.75" header="0.3" footer="0.3"/>
  <pageSetup paperSize="9" orientation="portrait"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22"/>
  <sheetViews>
    <sheetView zoomScale="85" zoomScaleNormal="85" workbookViewId="0"/>
  </sheetViews>
  <sheetFormatPr defaultRowHeight="15" x14ac:dyDescent="0.25"/>
  <cols>
    <col min="1" max="1" width="3.5703125" customWidth="1"/>
    <col min="4" max="5" width="3.5703125" customWidth="1"/>
    <col min="8" max="9" width="3.5703125" customWidth="1"/>
  </cols>
  <sheetData>
    <row r="2" spans="1:11" ht="21" x14ac:dyDescent="0.35">
      <c r="B2" s="36" t="s">
        <v>201</v>
      </c>
      <c r="C2" s="36"/>
      <c r="D2" s="36"/>
      <c r="E2" s="36"/>
      <c r="F2" s="36"/>
      <c r="G2" s="36"/>
      <c r="H2" s="36"/>
      <c r="I2" s="36"/>
      <c r="J2" s="36"/>
    </row>
    <row r="4" spans="1:11" ht="56.25" customHeight="1" x14ac:dyDescent="0.25">
      <c r="A4" s="145" t="s">
        <v>206</v>
      </c>
      <c r="B4" s="145"/>
      <c r="C4" s="145"/>
      <c r="D4" s="145"/>
      <c r="E4" s="145"/>
      <c r="F4" s="145"/>
      <c r="G4" s="145"/>
      <c r="H4" s="145"/>
      <c r="I4" s="145"/>
      <c r="J4" s="145"/>
      <c r="K4" s="145"/>
    </row>
    <row r="6" spans="1:11" x14ac:dyDescent="0.25">
      <c r="A6" s="32" t="s">
        <v>329</v>
      </c>
      <c r="E6" s="32" t="s">
        <v>400</v>
      </c>
      <c r="I6" s="32" t="s">
        <v>373</v>
      </c>
    </row>
    <row r="7" spans="1:11" x14ac:dyDescent="0.25">
      <c r="A7" t="s">
        <v>202</v>
      </c>
      <c r="B7" s="35" t="s">
        <v>353</v>
      </c>
      <c r="F7" s="35" t="s">
        <v>203</v>
      </c>
      <c r="J7" s="35" t="s">
        <v>384</v>
      </c>
    </row>
    <row r="8" spans="1:11" x14ac:dyDescent="0.25">
      <c r="B8" s="35" t="s">
        <v>359</v>
      </c>
      <c r="F8" s="35" t="s">
        <v>204</v>
      </c>
      <c r="J8" s="35" t="s">
        <v>374</v>
      </c>
    </row>
    <row r="9" spans="1:11" x14ac:dyDescent="0.25">
      <c r="B9" s="35" t="s">
        <v>6</v>
      </c>
      <c r="F9" s="35" t="s">
        <v>359</v>
      </c>
      <c r="J9" s="35" t="s">
        <v>380</v>
      </c>
    </row>
    <row r="10" spans="1:11" x14ac:dyDescent="0.25">
      <c r="B10" s="35" t="s">
        <v>369</v>
      </c>
      <c r="F10" s="35" t="s">
        <v>6</v>
      </c>
      <c r="J10" s="35" t="s">
        <v>376</v>
      </c>
    </row>
    <row r="11" spans="1:11" x14ac:dyDescent="0.25">
      <c r="A11" s="32" t="s">
        <v>337</v>
      </c>
      <c r="E11" s="32" t="s">
        <v>401</v>
      </c>
      <c r="J11" s="35" t="s">
        <v>378</v>
      </c>
    </row>
    <row r="12" spans="1:11" x14ac:dyDescent="0.25">
      <c r="A12" t="s">
        <v>202</v>
      </c>
      <c r="B12" s="35" t="s">
        <v>353</v>
      </c>
      <c r="F12" s="35" t="s">
        <v>203</v>
      </c>
    </row>
    <row r="13" spans="1:11" x14ac:dyDescent="0.25">
      <c r="B13" s="35" t="s">
        <v>359</v>
      </c>
      <c r="F13" s="35" t="s">
        <v>204</v>
      </c>
    </row>
    <row r="14" spans="1:11" x14ac:dyDescent="0.25">
      <c r="B14" s="35" t="s">
        <v>6</v>
      </c>
      <c r="F14" s="35" t="s">
        <v>205</v>
      </c>
    </row>
    <row r="15" spans="1:11" x14ac:dyDescent="0.25">
      <c r="B15" s="35" t="s">
        <v>369</v>
      </c>
      <c r="F15" s="35" t="s">
        <v>359</v>
      </c>
    </row>
    <row r="16" spans="1:11" x14ac:dyDescent="0.25">
      <c r="A16" s="32" t="s">
        <v>346</v>
      </c>
      <c r="F16" s="35" t="s">
        <v>6</v>
      </c>
    </row>
    <row r="17" spans="1:6" x14ac:dyDescent="0.25">
      <c r="A17" t="s">
        <v>202</v>
      </c>
      <c r="B17" s="35" t="s">
        <v>353</v>
      </c>
      <c r="E17" s="32" t="s">
        <v>385</v>
      </c>
    </row>
    <row r="18" spans="1:6" x14ac:dyDescent="0.25">
      <c r="B18" s="35" t="s">
        <v>359</v>
      </c>
      <c r="F18" s="35" t="s">
        <v>389</v>
      </c>
    </row>
    <row r="19" spans="1:6" x14ac:dyDescent="0.25">
      <c r="B19" s="35" t="s">
        <v>6</v>
      </c>
      <c r="F19" s="35" t="s">
        <v>392</v>
      </c>
    </row>
    <row r="20" spans="1:6" x14ac:dyDescent="0.25">
      <c r="B20" s="35" t="s">
        <v>368</v>
      </c>
      <c r="F20" s="35" t="s">
        <v>395</v>
      </c>
    </row>
    <row r="21" spans="1:6" x14ac:dyDescent="0.25">
      <c r="B21" s="35" t="s">
        <v>367</v>
      </c>
      <c r="F21" s="35" t="s">
        <v>398</v>
      </c>
    </row>
    <row r="22" spans="1:6" x14ac:dyDescent="0.25">
      <c r="B22" s="35" t="s">
        <v>369</v>
      </c>
    </row>
  </sheetData>
  <sheetProtection sheet="1" objects="1" scenarios="1"/>
  <mergeCells count="1">
    <mergeCell ref="A4:K4"/>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sheetPr>
  <dimension ref="A1:L66"/>
  <sheetViews>
    <sheetView zoomScale="85" zoomScaleNormal="85" workbookViewId="0">
      <selection activeCell="H32" sqref="H32"/>
    </sheetView>
  </sheetViews>
  <sheetFormatPr defaultRowHeight="15" x14ac:dyDescent="0.25"/>
  <cols>
    <col min="1" max="1" width="10.42578125" style="16" bestFit="1" customWidth="1"/>
    <col min="2" max="2" width="24.28515625" style="16" bestFit="1" customWidth="1"/>
    <col min="3" max="3" width="28.7109375" style="16" bestFit="1" customWidth="1"/>
    <col min="4" max="4" width="32.5703125" style="16" bestFit="1" customWidth="1"/>
    <col min="5" max="5" width="11.7109375" style="16" bestFit="1" customWidth="1"/>
    <col min="6" max="6" width="10.42578125" style="16" bestFit="1" customWidth="1"/>
    <col min="7" max="7" width="20.85546875" style="16" bestFit="1" customWidth="1"/>
    <col min="8" max="8" width="17.85546875" style="16" bestFit="1" customWidth="1"/>
    <col min="9" max="9" width="17.5703125" style="16" bestFit="1" customWidth="1"/>
    <col min="10" max="10" width="18.28515625" style="16" bestFit="1" customWidth="1"/>
    <col min="11" max="12" width="9.140625" style="16" customWidth="1"/>
    <col min="13" max="13" width="11.28515625" style="16" customWidth="1"/>
    <col min="14" max="14" width="11.5703125" style="16" customWidth="1"/>
    <col min="15" max="15" width="10.28515625" style="16" customWidth="1"/>
    <col min="16" max="47" width="9.140625" style="16" customWidth="1"/>
    <col min="48" max="16384" width="9.140625" style="16"/>
  </cols>
  <sheetData>
    <row r="1" spans="1:10" ht="15" customHeight="1" x14ac:dyDescent="0.25"/>
    <row r="2" spans="1:10" ht="15" customHeight="1" x14ac:dyDescent="0.25"/>
    <row r="3" spans="1:10" ht="15" customHeight="1" x14ac:dyDescent="0.25">
      <c r="A3" s="17" t="s">
        <v>165</v>
      </c>
      <c r="B3" s="17" t="s">
        <v>212</v>
      </c>
      <c r="C3" s="17" t="s">
        <v>249</v>
      </c>
      <c r="D3" s="17" t="s">
        <v>249</v>
      </c>
      <c r="E3" s="17" t="s">
        <v>208</v>
      </c>
      <c r="F3" s="17" t="s">
        <v>5</v>
      </c>
      <c r="G3" s="17" t="s">
        <v>2</v>
      </c>
      <c r="H3" s="17" t="s">
        <v>0</v>
      </c>
      <c r="I3" s="17" t="s">
        <v>213</v>
      </c>
      <c r="J3" s="17" t="s">
        <v>213</v>
      </c>
    </row>
    <row r="4" spans="1:10" ht="15" customHeight="1" x14ac:dyDescent="0.25">
      <c r="A4" s="17"/>
      <c r="B4" s="17" t="s">
        <v>215</v>
      </c>
      <c r="C4" s="17" t="s">
        <v>250</v>
      </c>
      <c r="D4" s="17" t="s">
        <v>252</v>
      </c>
      <c r="E4" s="17"/>
      <c r="F4" s="17"/>
      <c r="G4" s="17"/>
      <c r="H4" s="17"/>
      <c r="I4" s="17" t="s">
        <v>216</v>
      </c>
      <c r="J4" s="17" t="s">
        <v>216</v>
      </c>
    </row>
    <row r="5" spans="1:10" ht="15" customHeight="1" x14ac:dyDescent="0.25">
      <c r="A5" s="18">
        <v>42004</v>
      </c>
      <c r="B5" s="18" t="s">
        <v>214</v>
      </c>
      <c r="C5" s="18" t="s">
        <v>253</v>
      </c>
      <c r="D5" s="18" t="s">
        <v>254</v>
      </c>
      <c r="E5" s="18" t="s">
        <v>251</v>
      </c>
      <c r="I5" s="16" t="s">
        <v>214</v>
      </c>
      <c r="J5" s="16" t="s">
        <v>187</v>
      </c>
    </row>
    <row r="6" spans="1:10" ht="15" customHeight="1" x14ac:dyDescent="0.25">
      <c r="A6" s="18"/>
      <c r="B6" s="18"/>
      <c r="C6" s="18"/>
      <c r="D6" s="18"/>
      <c r="E6" s="18"/>
    </row>
    <row r="7" spans="1:10" s="28" customFormat="1" ht="15" customHeight="1" x14ac:dyDescent="0.25">
      <c r="A7" s="26">
        <f>DAYS360($A$5,F7)</f>
        <v>28</v>
      </c>
      <c r="B7" s="26">
        <f>A7*24</f>
        <v>672</v>
      </c>
      <c r="C7" s="26">
        <f>1-EXP(-$E$7*A7)</f>
        <v>0.20557523026171776</v>
      </c>
      <c r="D7" s="26">
        <f>EXP(-$E$7*A7)</f>
        <v>0.79442476973828224</v>
      </c>
      <c r="E7" s="26">
        <f>'2015 - MTBF, MTTF, Exponencial'!AD33</f>
        <v>8.21917808219178E-3</v>
      </c>
      <c r="F7" s="27">
        <v>42032</v>
      </c>
      <c r="G7" s="28" t="s">
        <v>406</v>
      </c>
      <c r="H7" s="28" t="s">
        <v>6</v>
      </c>
      <c r="I7" s="28">
        <f>J7/60</f>
        <v>0.25</v>
      </c>
      <c r="J7" s="28">
        <v>15</v>
      </c>
    </row>
    <row r="8" spans="1:10" s="28" customFormat="1" ht="15" customHeight="1" x14ac:dyDescent="0.25">
      <c r="A8" s="26">
        <f>DAYS360($A$5,F8)-A7</f>
        <v>131</v>
      </c>
      <c r="B8" s="26">
        <f>A8*24</f>
        <v>3144</v>
      </c>
      <c r="C8" s="26">
        <f t="shared" ref="C8" si="0">1-EXP(-$E$7*A8)</f>
        <v>0.65928615859460926</v>
      </c>
      <c r="D8" s="26">
        <f t="shared" ref="D8:D9" si="1">EXP(-$E$7*A8)</f>
        <v>0.34071384140539074</v>
      </c>
      <c r="E8" s="54"/>
      <c r="F8" s="27">
        <v>42164</v>
      </c>
      <c r="G8" s="28" t="s">
        <v>406</v>
      </c>
      <c r="H8" s="28" t="s">
        <v>6</v>
      </c>
      <c r="I8" s="28">
        <f t="shared" ref="I8:I36" si="2">J8/60</f>
        <v>2.5</v>
      </c>
      <c r="J8" s="28">
        <v>150</v>
      </c>
    </row>
    <row r="9" spans="1:10" s="28" customFormat="1" ht="15" customHeight="1" x14ac:dyDescent="0.25">
      <c r="A9" s="26">
        <f>DAYS360($A$5,F9)-A8-A7</f>
        <v>81</v>
      </c>
      <c r="B9" s="26">
        <f>A9*24</f>
        <v>1944</v>
      </c>
      <c r="C9" s="26">
        <f>1-EXP(-$E$7*A9)</f>
        <v>0.48611379272315636</v>
      </c>
      <c r="D9" s="26">
        <f t="shared" si="1"/>
        <v>0.51388620727684364</v>
      </c>
      <c r="E9" s="54"/>
      <c r="F9" s="27">
        <v>42247</v>
      </c>
      <c r="G9" s="28" t="s">
        <v>406</v>
      </c>
      <c r="H9" s="28" t="s">
        <v>6</v>
      </c>
      <c r="I9" s="28">
        <f t="shared" si="2"/>
        <v>2</v>
      </c>
      <c r="J9" s="28">
        <v>120</v>
      </c>
    </row>
    <row r="10" spans="1:10" s="28" customFormat="1" ht="15" customHeight="1" x14ac:dyDescent="0.25">
      <c r="A10" s="38">
        <f>360-SUM(A7:A9)</f>
        <v>120</v>
      </c>
      <c r="B10" s="39">
        <f>A10*24</f>
        <v>2880</v>
      </c>
      <c r="C10" s="26"/>
      <c r="D10" s="26"/>
      <c r="E10" s="39"/>
      <c r="F10" s="27"/>
      <c r="G10" s="26"/>
    </row>
    <row r="11" spans="1:10" s="28" customFormat="1" ht="15" customHeight="1" x14ac:dyDescent="0.25">
      <c r="A11" s="26">
        <f>DAYS360($A$5,F11)</f>
        <v>194</v>
      </c>
      <c r="B11" s="26">
        <f t="shared" ref="B11:B36" si="3">A11*24</f>
        <v>4656</v>
      </c>
      <c r="C11" s="26">
        <f>1-EXP(-$E$11*A11)</f>
        <v>0.41228130141086183</v>
      </c>
      <c r="D11" s="26">
        <f>EXP(-$E$11*A11)</f>
        <v>0.58771869858913817</v>
      </c>
      <c r="E11" s="26">
        <f>'2015 - MTBF, MTTF, Exponencial'!AD14</f>
        <v>2.7397260273972603E-3</v>
      </c>
      <c r="F11" s="27">
        <v>42199</v>
      </c>
      <c r="G11" s="28" t="s">
        <v>333</v>
      </c>
      <c r="H11" s="28" t="s">
        <v>369</v>
      </c>
      <c r="I11" s="28">
        <f t="shared" si="2"/>
        <v>8</v>
      </c>
      <c r="J11" s="28">
        <v>480</v>
      </c>
    </row>
    <row r="12" spans="1:10" s="28" customFormat="1" ht="15" customHeight="1" x14ac:dyDescent="0.25">
      <c r="A12" s="38">
        <f>360-A11</f>
        <v>166</v>
      </c>
      <c r="B12" s="39">
        <f>A12*24</f>
        <v>3984</v>
      </c>
      <c r="C12" s="39"/>
      <c r="D12" s="39"/>
      <c r="E12" s="39"/>
      <c r="F12" s="27"/>
    </row>
    <row r="13" spans="1:10" s="28" customFormat="1" ht="15" customHeight="1" x14ac:dyDescent="0.25">
      <c r="A13" s="26">
        <f>DAYS360($A$5,F13)</f>
        <v>5</v>
      </c>
      <c r="B13" s="26">
        <f t="shared" si="3"/>
        <v>120</v>
      </c>
      <c r="C13" s="26">
        <f>1-EXP(-$E$13*A13)</f>
        <v>5.3320348814412277E-2</v>
      </c>
      <c r="D13" s="26">
        <f>EXP(-$E$13*A13)</f>
        <v>0.94667965118558772</v>
      </c>
      <c r="E13" s="26">
        <f>'2015 - MTBF, MTTF, Exponencial'!AD19</f>
        <v>1.0958904109589041E-2</v>
      </c>
      <c r="F13" s="27">
        <v>42009</v>
      </c>
      <c r="G13" s="28" t="s">
        <v>333</v>
      </c>
      <c r="H13" s="28" t="s">
        <v>353</v>
      </c>
      <c r="I13" s="28">
        <f t="shared" si="2"/>
        <v>1</v>
      </c>
      <c r="J13" s="28">
        <v>60</v>
      </c>
    </row>
    <row r="14" spans="1:10" s="28" customFormat="1" ht="15" customHeight="1" x14ac:dyDescent="0.25">
      <c r="A14" s="26">
        <f>DAYS360($A$5,F14)-A13</f>
        <v>75</v>
      </c>
      <c r="B14" s="26">
        <f t="shared" si="3"/>
        <v>1800</v>
      </c>
      <c r="C14" s="26">
        <f t="shared" ref="C14:C15" si="4">1-EXP(-$E$13*A14)</f>
        <v>0.56041219950727683</v>
      </c>
      <c r="D14" s="26">
        <f t="shared" ref="D14:D16" si="5">EXP(-$E$13*A14)</f>
        <v>0.43958780049272311</v>
      </c>
      <c r="E14" s="54"/>
      <c r="F14" s="27">
        <v>42083</v>
      </c>
      <c r="G14" s="28" t="s">
        <v>333</v>
      </c>
      <c r="H14" s="28" t="s">
        <v>353</v>
      </c>
      <c r="I14" s="28">
        <f t="shared" si="2"/>
        <v>1.5</v>
      </c>
      <c r="J14" s="28">
        <v>90</v>
      </c>
    </row>
    <row r="15" spans="1:10" s="28" customFormat="1" ht="15" customHeight="1" x14ac:dyDescent="0.25">
      <c r="A15" s="26">
        <f>DAYS360($A$5,F15)-A14-A13</f>
        <v>130</v>
      </c>
      <c r="B15" s="26">
        <f t="shared" si="3"/>
        <v>3120</v>
      </c>
      <c r="C15" s="26">
        <f t="shared" si="4"/>
        <v>0.75940915677423804</v>
      </c>
      <c r="D15" s="26">
        <f t="shared" si="5"/>
        <v>0.24059084322576202</v>
      </c>
      <c r="E15" s="54"/>
      <c r="F15" s="27">
        <v>42215</v>
      </c>
      <c r="G15" s="28" t="s">
        <v>333</v>
      </c>
      <c r="H15" s="28" t="s">
        <v>353</v>
      </c>
      <c r="I15" s="28">
        <f t="shared" si="2"/>
        <v>2</v>
      </c>
      <c r="J15" s="28">
        <v>120</v>
      </c>
    </row>
    <row r="16" spans="1:10" s="28" customFormat="1" ht="15" customHeight="1" x14ac:dyDescent="0.25">
      <c r="A16" s="26">
        <f>DAYS360($A$5,F16)-A15-A14-A13</f>
        <v>30</v>
      </c>
      <c r="B16" s="26">
        <f t="shared" si="3"/>
        <v>720</v>
      </c>
      <c r="C16" s="26">
        <f>1-EXP(-$E$13*A16)</f>
        <v>0.28018937563793644</v>
      </c>
      <c r="D16" s="26">
        <f t="shared" si="5"/>
        <v>0.71981062436206356</v>
      </c>
      <c r="E16" s="54"/>
      <c r="F16" s="27">
        <v>42247</v>
      </c>
      <c r="G16" s="28" t="s">
        <v>333</v>
      </c>
      <c r="H16" s="28" t="s">
        <v>353</v>
      </c>
      <c r="I16" s="28">
        <f t="shared" si="2"/>
        <v>0.75</v>
      </c>
      <c r="J16" s="28">
        <v>45</v>
      </c>
    </row>
    <row r="17" spans="1:12" s="28" customFormat="1" ht="15" customHeight="1" x14ac:dyDescent="0.25">
      <c r="A17" s="39">
        <f>360-SUM(A13:A16)</f>
        <v>120</v>
      </c>
      <c r="B17" s="39">
        <f>A17*24</f>
        <v>2880</v>
      </c>
      <c r="C17" s="39"/>
      <c r="D17" s="39"/>
      <c r="E17" s="39"/>
      <c r="F17" s="27"/>
    </row>
    <row r="18" spans="1:12" s="28" customFormat="1" ht="15" customHeight="1" x14ac:dyDescent="0.25">
      <c r="A18" s="26">
        <f>DAYS360($A$5,F18)</f>
        <v>5</v>
      </c>
      <c r="B18" s="26">
        <f t="shared" si="3"/>
        <v>120</v>
      </c>
      <c r="C18" s="26">
        <f>1-EXP(-$E$18*A18)</f>
        <v>1.3605230870246343E-2</v>
      </c>
      <c r="D18" s="26">
        <f>EXP(-$E$18*A18)</f>
        <v>0.98639476912975366</v>
      </c>
      <c r="E18" s="26">
        <f>'2015 - MTBF, MTTF, Exponencial'!AD21</f>
        <v>2.7397260273972603E-3</v>
      </c>
      <c r="F18" s="27">
        <v>42009</v>
      </c>
      <c r="G18" s="28" t="s">
        <v>333</v>
      </c>
      <c r="H18" s="28" t="s">
        <v>359</v>
      </c>
      <c r="I18" s="28">
        <f t="shared" si="2"/>
        <v>1</v>
      </c>
      <c r="J18" s="28">
        <v>60</v>
      </c>
    </row>
    <row r="19" spans="1:12" s="28" customFormat="1" ht="15" customHeight="1" x14ac:dyDescent="0.25">
      <c r="A19" s="38">
        <f>360-A18</f>
        <v>355</v>
      </c>
      <c r="B19" s="39">
        <f>A19*24</f>
        <v>8520</v>
      </c>
      <c r="C19" s="39"/>
      <c r="D19" s="39"/>
      <c r="E19" s="39"/>
      <c r="F19" s="27"/>
    </row>
    <row r="20" spans="1:12" s="28" customFormat="1" ht="15" customHeight="1" x14ac:dyDescent="0.25">
      <c r="A20" s="26">
        <f>DAYS360($A$5,F20)</f>
        <v>90</v>
      </c>
      <c r="B20" s="26">
        <f t="shared" si="3"/>
        <v>2160</v>
      </c>
      <c r="C20" s="26">
        <f>1-EXP(-$E$20*A20)</f>
        <v>0.38930076104071065</v>
      </c>
      <c r="D20" s="26">
        <f>EXP(-$E$20*A20)</f>
        <v>0.61069923895928935</v>
      </c>
      <c r="E20" s="26">
        <f>'2015 - MTBF, MTTF, Exponencial'!AD24</f>
        <v>5.4794520547945206E-3</v>
      </c>
      <c r="F20" s="27">
        <v>42093</v>
      </c>
      <c r="G20" s="28" t="s">
        <v>342</v>
      </c>
      <c r="H20" s="28" t="s">
        <v>353</v>
      </c>
      <c r="I20" s="52">
        <f t="shared" si="2"/>
        <v>0.33333333333333331</v>
      </c>
      <c r="J20" s="28">
        <v>20</v>
      </c>
    </row>
    <row r="21" spans="1:12" s="28" customFormat="1" ht="15" customHeight="1" x14ac:dyDescent="0.25">
      <c r="A21" s="38">
        <f>360-A20</f>
        <v>270</v>
      </c>
      <c r="B21" s="39">
        <f>A21*24</f>
        <v>6480</v>
      </c>
      <c r="C21" s="39"/>
      <c r="D21" s="39"/>
      <c r="E21" s="39"/>
      <c r="F21" s="27"/>
      <c r="I21" s="52"/>
    </row>
    <row r="22" spans="1:12" s="28" customFormat="1" ht="15" customHeight="1" x14ac:dyDescent="0.25">
      <c r="A22" s="26">
        <f>DAYS360($A$5,F22)</f>
        <v>28</v>
      </c>
      <c r="B22" s="26">
        <f t="shared" si="3"/>
        <v>672</v>
      </c>
      <c r="C22" s="26">
        <f>1-EXP(-$E$22*A22)</f>
        <v>0.26423853928009411</v>
      </c>
      <c r="D22" s="26">
        <f>EXP(-$E$22*A22)</f>
        <v>0.73576146071990589</v>
      </c>
      <c r="E22" s="26">
        <f>'2015 - MTBF, MTTF, Exponencial'!AD29</f>
        <v>1.0958904109589041E-2</v>
      </c>
      <c r="F22" s="27">
        <v>42032</v>
      </c>
      <c r="G22" s="28" t="s">
        <v>342</v>
      </c>
      <c r="H22" s="28" t="s">
        <v>6</v>
      </c>
      <c r="I22" s="52">
        <f t="shared" si="2"/>
        <v>0.33333333333333331</v>
      </c>
      <c r="J22" s="28">
        <v>20</v>
      </c>
    </row>
    <row r="23" spans="1:12" s="28" customFormat="1" ht="15" customHeight="1" x14ac:dyDescent="0.25">
      <c r="A23" s="26">
        <f>DAYS360($A$5,F23)-A22</f>
        <v>37</v>
      </c>
      <c r="B23" s="26">
        <f t="shared" si="3"/>
        <v>888</v>
      </c>
      <c r="C23" s="26">
        <f t="shared" ref="C23:C26" si="6">1-EXP(-$E$22*A23)</f>
        <v>0.33334289589583743</v>
      </c>
      <c r="D23" s="26">
        <f t="shared" ref="D23:D26" si="7">EXP(-$E$22*A23)</f>
        <v>0.66665710410416257</v>
      </c>
      <c r="E23" s="54"/>
      <c r="F23" s="27">
        <v>42068</v>
      </c>
      <c r="G23" s="28" t="s">
        <v>342</v>
      </c>
      <c r="H23" s="28" t="s">
        <v>6</v>
      </c>
      <c r="I23" s="52">
        <f t="shared" si="2"/>
        <v>0.83333333333333337</v>
      </c>
      <c r="J23" s="28">
        <v>50</v>
      </c>
    </row>
    <row r="24" spans="1:12" s="28" customFormat="1" ht="15" customHeight="1" x14ac:dyDescent="0.25">
      <c r="A24" s="26">
        <f>DAYS360($A$5,F24)-A23-A22</f>
        <v>134</v>
      </c>
      <c r="B24" s="26">
        <f t="shared" si="3"/>
        <v>3216</v>
      </c>
      <c r="C24" s="26">
        <f t="shared" si="6"/>
        <v>0.76972779058843122</v>
      </c>
      <c r="D24" s="26">
        <f t="shared" si="7"/>
        <v>0.23027220941156876</v>
      </c>
      <c r="E24" s="54"/>
      <c r="F24" s="27">
        <v>42204</v>
      </c>
      <c r="G24" s="28" t="s">
        <v>342</v>
      </c>
      <c r="H24" s="28" t="s">
        <v>6</v>
      </c>
      <c r="I24" s="28">
        <f t="shared" si="2"/>
        <v>2</v>
      </c>
      <c r="J24" s="28">
        <v>120</v>
      </c>
      <c r="L24" s="27"/>
    </row>
    <row r="25" spans="1:12" s="28" customFormat="1" ht="15" customHeight="1" x14ac:dyDescent="0.25">
      <c r="A25" s="26">
        <f>DAYS360($A$5,F25)-A24-A23-A22</f>
        <v>15</v>
      </c>
      <c r="B25" s="26">
        <f t="shared" si="3"/>
        <v>360</v>
      </c>
      <c r="C25" s="26">
        <f t="shared" si="6"/>
        <v>0.15158346057961392</v>
      </c>
      <c r="D25" s="26">
        <f t="shared" si="7"/>
        <v>0.84841653942038608</v>
      </c>
      <c r="E25" s="54"/>
      <c r="F25" s="27">
        <v>42220</v>
      </c>
      <c r="G25" s="28" t="s">
        <v>342</v>
      </c>
      <c r="H25" s="28" t="s">
        <v>6</v>
      </c>
      <c r="I25" s="28">
        <f t="shared" si="2"/>
        <v>0.5</v>
      </c>
      <c r="J25" s="28">
        <v>30</v>
      </c>
    </row>
    <row r="26" spans="1:12" s="28" customFormat="1" ht="15" customHeight="1" x14ac:dyDescent="0.25">
      <c r="A26" s="26">
        <f>DAYS360($A$5,F26)-A25-A24-A23-A22</f>
        <v>109</v>
      </c>
      <c r="B26" s="26">
        <f t="shared" si="3"/>
        <v>2616</v>
      </c>
      <c r="C26" s="26">
        <f t="shared" si="6"/>
        <v>0.69715087898754335</v>
      </c>
      <c r="D26" s="26">
        <f t="shared" si="7"/>
        <v>0.30284912101245665</v>
      </c>
      <c r="E26" s="54"/>
      <c r="F26" s="27">
        <v>42331</v>
      </c>
      <c r="G26" s="28" t="s">
        <v>342</v>
      </c>
      <c r="H26" s="28" t="s">
        <v>6</v>
      </c>
      <c r="I26" s="28">
        <f t="shared" si="2"/>
        <v>2</v>
      </c>
      <c r="J26" s="28">
        <v>120</v>
      </c>
    </row>
    <row r="27" spans="1:12" s="28" customFormat="1" ht="15" customHeight="1" x14ac:dyDescent="0.25">
      <c r="A27" s="38">
        <f>360-SUM(A22:A26)</f>
        <v>37</v>
      </c>
      <c r="B27" s="39">
        <f>A27*24</f>
        <v>888</v>
      </c>
      <c r="C27" s="39"/>
      <c r="D27" s="39"/>
      <c r="E27" s="39"/>
      <c r="F27" s="27"/>
    </row>
    <row r="28" spans="1:12" s="28" customFormat="1" ht="15" customHeight="1" x14ac:dyDescent="0.25">
      <c r="A28" s="26">
        <f>DAYS360($A$5,F28)</f>
        <v>240</v>
      </c>
      <c r="B28" s="26">
        <f t="shared" si="3"/>
        <v>5760</v>
      </c>
      <c r="C28" s="26">
        <f>1-EXP(-$E$28*A28)</f>
        <v>0.48187266505549631</v>
      </c>
      <c r="D28" s="26">
        <f>EXP(-$E$28*A28)</f>
        <v>0.51812733494450369</v>
      </c>
      <c r="E28" s="26">
        <f>'2015 - MTBF, MTTF, Exponencial'!AD35</f>
        <v>2.7397260273972603E-3</v>
      </c>
      <c r="F28" s="27">
        <v>42247</v>
      </c>
      <c r="G28" s="28" t="s">
        <v>385</v>
      </c>
      <c r="H28" s="28" t="s">
        <v>397</v>
      </c>
      <c r="I28" s="28">
        <f t="shared" si="2"/>
        <v>120</v>
      </c>
      <c r="J28" s="28">
        <f>5*24*60</f>
        <v>7200</v>
      </c>
    </row>
    <row r="29" spans="1:12" s="28" customFormat="1" ht="15" customHeight="1" x14ac:dyDescent="0.25">
      <c r="A29" s="38">
        <f>360-A28</f>
        <v>120</v>
      </c>
      <c r="B29" s="39">
        <f>A29*24</f>
        <v>2880</v>
      </c>
      <c r="C29" s="39"/>
      <c r="D29" s="39"/>
      <c r="E29" s="39"/>
      <c r="F29" s="27"/>
    </row>
    <row r="30" spans="1:12" s="28" customFormat="1" ht="15" customHeight="1" x14ac:dyDescent="0.25">
      <c r="A30" s="26">
        <f>DAYS360($A$5,F30)</f>
        <v>124</v>
      </c>
      <c r="B30" s="26">
        <f t="shared" si="3"/>
        <v>2976</v>
      </c>
      <c r="C30" s="26">
        <f>1-EXP(-$E$30*A30)</f>
        <v>0.2880346449539789</v>
      </c>
      <c r="D30" s="26">
        <f>EXP(-$E$30*A30)</f>
        <v>0.7119653550460211</v>
      </c>
      <c r="E30" s="26">
        <f>'2015 - MTBF, MTTF, Exponencial'!AD6</f>
        <v>2.7397260273972603E-3</v>
      </c>
      <c r="F30" s="27">
        <v>42128</v>
      </c>
      <c r="G30" s="28" t="s">
        <v>370</v>
      </c>
      <c r="H30" s="28" t="s">
        <v>384</v>
      </c>
      <c r="I30" s="28">
        <f t="shared" si="2"/>
        <v>6</v>
      </c>
      <c r="J30" s="28">
        <v>360</v>
      </c>
    </row>
    <row r="31" spans="1:12" s="28" customFormat="1" ht="15" customHeight="1" x14ac:dyDescent="0.25">
      <c r="A31" s="38">
        <f>360-A30</f>
        <v>236</v>
      </c>
      <c r="B31" s="39">
        <f>A31*24</f>
        <v>5664</v>
      </c>
      <c r="C31" s="39"/>
      <c r="D31" s="39"/>
      <c r="E31" s="39"/>
      <c r="F31" s="27"/>
    </row>
    <row r="32" spans="1:12" s="28" customFormat="1" ht="15" customHeight="1" x14ac:dyDescent="0.25">
      <c r="A32" s="26">
        <f>DAYS360($A$5,F32)</f>
        <v>40</v>
      </c>
      <c r="B32" s="26">
        <f t="shared" si="3"/>
        <v>960</v>
      </c>
      <c r="C32" s="26">
        <f>1-EXP(-$E$32*A32)</f>
        <v>0.19682132640142547</v>
      </c>
      <c r="D32" s="26">
        <f>EXP(-$E$32*A32)</f>
        <v>0.80317867359857453</v>
      </c>
      <c r="E32" s="26">
        <f>'2015 - MTBF, MTTF, Exponencial'!AD9</f>
        <v>5.4794520547945206E-3</v>
      </c>
      <c r="F32" s="27">
        <v>42045</v>
      </c>
      <c r="G32" s="28" t="s">
        <v>370</v>
      </c>
      <c r="H32" s="28" t="s">
        <v>374</v>
      </c>
      <c r="I32" s="28">
        <f t="shared" si="2"/>
        <v>0.75</v>
      </c>
      <c r="J32" s="28">
        <v>45</v>
      </c>
    </row>
    <row r="33" spans="1:10" s="28" customFormat="1" ht="15" customHeight="1" x14ac:dyDescent="0.25">
      <c r="A33" s="26">
        <f>DAYS360($A$5,F33)-A32</f>
        <v>174</v>
      </c>
      <c r="B33" s="26">
        <f t="shared" si="3"/>
        <v>4176</v>
      </c>
      <c r="C33" s="26">
        <f>1-EXP(-$E$32*A33)</f>
        <v>0.6145811667886345</v>
      </c>
      <c r="D33" s="26">
        <f>EXP(-$E$32*A33)</f>
        <v>0.38541883321136555</v>
      </c>
      <c r="E33" s="54"/>
      <c r="F33" s="27">
        <v>42220</v>
      </c>
      <c r="G33" s="28" t="s">
        <v>370</v>
      </c>
      <c r="H33" s="28" t="s">
        <v>374</v>
      </c>
      <c r="I33" s="28">
        <f t="shared" si="2"/>
        <v>21</v>
      </c>
      <c r="J33" s="28">
        <f>21*60</f>
        <v>1260</v>
      </c>
    </row>
    <row r="34" spans="1:10" s="28" customFormat="1" ht="15" customHeight="1" x14ac:dyDescent="0.25">
      <c r="A34" s="38">
        <f>360-SUM(A32:A33)</f>
        <v>146</v>
      </c>
      <c r="B34" s="39">
        <f>A34*24</f>
        <v>3504</v>
      </c>
      <c r="C34" s="39"/>
      <c r="D34" s="39"/>
      <c r="E34" s="39"/>
      <c r="F34" s="27"/>
    </row>
    <row r="35" spans="1:10" s="28" customFormat="1" ht="15" customHeight="1" x14ac:dyDescent="0.25">
      <c r="A35" s="26">
        <f>DAYS360($A$5,F35)</f>
        <v>319</v>
      </c>
      <c r="B35" s="26">
        <f t="shared" si="3"/>
        <v>7656</v>
      </c>
      <c r="C35" s="26">
        <f>1-EXP(-$E$35*A35)</f>
        <v>0.82586861969886138</v>
      </c>
      <c r="D35" s="26">
        <f>EXP(-$E$35*A35)</f>
        <v>0.17413138030113867</v>
      </c>
      <c r="E35" s="26">
        <f>'2015 - MTBF, MTTF, Exponencial'!AD12</f>
        <v>5.4794520547945206E-3</v>
      </c>
      <c r="F35" s="27">
        <v>42327</v>
      </c>
      <c r="G35" s="28" t="s">
        <v>370</v>
      </c>
      <c r="H35" s="28" t="s">
        <v>376</v>
      </c>
      <c r="I35" s="28">
        <f t="shared" si="2"/>
        <v>125</v>
      </c>
      <c r="J35" s="28">
        <f>5*25*60</f>
        <v>7500</v>
      </c>
    </row>
    <row r="36" spans="1:10" s="28" customFormat="1" ht="15" customHeight="1" x14ac:dyDescent="0.25">
      <c r="A36" s="26">
        <f>DAYS360($A$5,F36)-A35</f>
        <v>14</v>
      </c>
      <c r="B36" s="26">
        <f t="shared" si="3"/>
        <v>336</v>
      </c>
      <c r="C36" s="26">
        <f>1-EXP(-$E$35*A36)</f>
        <v>7.3843756203249455E-2</v>
      </c>
      <c r="D36" s="26">
        <f>EXP(-$E$35*A36)</f>
        <v>0.92615624379675054</v>
      </c>
      <c r="E36" s="54"/>
      <c r="F36" s="27">
        <v>42341</v>
      </c>
      <c r="G36" s="28" t="s">
        <v>370</v>
      </c>
      <c r="H36" s="28" t="s">
        <v>376</v>
      </c>
      <c r="I36" s="28">
        <f t="shared" si="2"/>
        <v>3</v>
      </c>
      <c r="J36" s="28">
        <v>180</v>
      </c>
    </row>
    <row r="37" spans="1:10" ht="15" customHeight="1" x14ac:dyDescent="0.25">
      <c r="A37" s="38">
        <f>360-SUM(A35:A36)</f>
        <v>27</v>
      </c>
      <c r="B37" s="39">
        <f>A37*24</f>
        <v>648</v>
      </c>
      <c r="C37" s="39"/>
      <c r="D37" s="39"/>
      <c r="E37" s="39"/>
    </row>
    <row r="38" spans="1:10" ht="15" customHeight="1" x14ac:dyDescent="0.25"/>
    <row r="39" spans="1:10" ht="15" customHeight="1" x14ac:dyDescent="0.25">
      <c r="A39" s="32"/>
    </row>
    <row r="40" spans="1:10" ht="15" customHeight="1" x14ac:dyDescent="0.25">
      <c r="A40" s="53"/>
    </row>
    <row r="41" spans="1:10" ht="15" customHeight="1" x14ac:dyDescent="0.25"/>
    <row r="42" spans="1:10" ht="15" customHeight="1" x14ac:dyDescent="0.25"/>
    <row r="43" spans="1:10" ht="15" customHeight="1" x14ac:dyDescent="0.25"/>
    <row r="44" spans="1:10" ht="15" customHeight="1" x14ac:dyDescent="0.25"/>
    <row r="45" spans="1:10" ht="15" customHeight="1" x14ac:dyDescent="0.25"/>
    <row r="46" spans="1:10" ht="15" customHeight="1" x14ac:dyDescent="0.25"/>
    <row r="47" spans="1:10" ht="15" customHeight="1" x14ac:dyDescent="0.25"/>
    <row r="48" spans="1:10" ht="15" customHeight="1" x14ac:dyDescent="0.25"/>
    <row r="49" spans="1:5" ht="15" customHeight="1" x14ac:dyDescent="0.25"/>
    <row r="50" spans="1:5" ht="15" customHeight="1" x14ac:dyDescent="0.25"/>
    <row r="63" spans="1:5" x14ac:dyDescent="0.25">
      <c r="A63" s="20"/>
      <c r="B63" s="20"/>
      <c r="C63" s="20"/>
      <c r="D63" s="20"/>
      <c r="E63" s="20"/>
    </row>
    <row r="64" spans="1:5" ht="21" x14ac:dyDescent="0.35">
      <c r="A64" s="15"/>
      <c r="B64" s="15"/>
      <c r="C64" s="15"/>
      <c r="D64" s="15"/>
      <c r="E64" s="15"/>
    </row>
    <row r="66" spans="8:8" x14ac:dyDescent="0.25">
      <c r="H66" s="17"/>
    </row>
  </sheetData>
  <sheetProtection sheet="1" objects="1" scenarios="1"/>
  <sortState ref="A6:L26">
    <sortCondition ref="G6:G26"/>
    <sortCondition ref="H6:H26"/>
  </sortState>
  <pageMargins left="0.7" right="0.7" top="0.75" bottom="0.75" header="0.3" footer="0.3"/>
  <pageSetup paperSize="9" orientation="portrait" horizontalDpi="300"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sheetPr>
  <dimension ref="A1:H53"/>
  <sheetViews>
    <sheetView zoomScaleNormal="100" workbookViewId="0">
      <selection activeCell="G7" sqref="G7"/>
    </sheetView>
  </sheetViews>
  <sheetFormatPr defaultRowHeight="15" x14ac:dyDescent="0.25"/>
  <cols>
    <col min="1" max="1" width="16.7109375" style="16" customWidth="1"/>
    <col min="2" max="2" width="10.42578125" style="16" customWidth="1"/>
    <col min="3" max="3" width="10.42578125" style="16" bestFit="1" customWidth="1"/>
    <col min="4" max="4" width="15.42578125" style="16" bestFit="1" customWidth="1"/>
    <col min="5" max="5" width="12.42578125" style="16" customWidth="1"/>
    <col min="6" max="6" width="80.7109375" style="16" customWidth="1"/>
    <col min="7" max="7" width="17.5703125" style="16" bestFit="1" customWidth="1"/>
    <col min="8" max="8" width="11.85546875" style="16" bestFit="1" customWidth="1"/>
    <col min="9" max="16384" width="9.140625" style="16"/>
  </cols>
  <sheetData>
    <row r="1" spans="1:8" ht="21" x14ac:dyDescent="0.35">
      <c r="A1" s="15" t="s">
        <v>174</v>
      </c>
      <c r="B1" s="15"/>
    </row>
    <row r="3" spans="1:8" x14ac:dyDescent="0.25">
      <c r="A3" s="17" t="s">
        <v>175</v>
      </c>
      <c r="B3" s="17" t="s">
        <v>165</v>
      </c>
      <c r="C3" s="17" t="s">
        <v>5</v>
      </c>
      <c r="D3" s="17" t="s">
        <v>2</v>
      </c>
      <c r="E3" s="17" t="s">
        <v>0</v>
      </c>
      <c r="F3" s="17" t="s">
        <v>1</v>
      </c>
      <c r="G3" s="17" t="s">
        <v>188</v>
      </c>
      <c r="H3" s="17" t="s">
        <v>218</v>
      </c>
    </row>
    <row r="4" spans="1:8" x14ac:dyDescent="0.25">
      <c r="A4" s="16" t="s">
        <v>176</v>
      </c>
      <c r="B4" s="18">
        <v>41639</v>
      </c>
      <c r="C4" s="17"/>
      <c r="D4" s="17"/>
      <c r="E4" s="17"/>
      <c r="F4" s="17"/>
      <c r="G4" s="16" t="s">
        <v>187</v>
      </c>
    </row>
    <row r="5" spans="1:8" x14ac:dyDescent="0.25">
      <c r="B5" s="18"/>
    </row>
    <row r="6" spans="1:8" ht="45" x14ac:dyDescent="0.25">
      <c r="A6" s="29">
        <v>20</v>
      </c>
      <c r="B6" s="29">
        <f>DAYS360($B$4,C6)</f>
        <v>20</v>
      </c>
      <c r="C6" s="27">
        <v>41659</v>
      </c>
      <c r="D6" s="28" t="s">
        <v>333</v>
      </c>
      <c r="E6" s="28" t="s">
        <v>353</v>
      </c>
      <c r="F6" s="25" t="s">
        <v>23</v>
      </c>
      <c r="G6" s="16">
        <f>8*60</f>
        <v>480</v>
      </c>
      <c r="H6" s="16" t="s">
        <v>219</v>
      </c>
    </row>
    <row r="7" spans="1:8" ht="30" x14ac:dyDescent="0.25">
      <c r="A7" s="29">
        <f>B7-B6</f>
        <v>17</v>
      </c>
      <c r="B7" s="29">
        <f t="shared" ref="B7:B24" si="0">DAYS360($B$4,C7)</f>
        <v>37</v>
      </c>
      <c r="C7" s="27">
        <v>41677</v>
      </c>
      <c r="D7" s="28" t="s">
        <v>385</v>
      </c>
      <c r="E7" s="28" t="s">
        <v>388</v>
      </c>
      <c r="F7" s="28" t="s">
        <v>24</v>
      </c>
      <c r="G7" s="16">
        <v>180</v>
      </c>
      <c r="H7" s="28" t="s">
        <v>219</v>
      </c>
    </row>
    <row r="8" spans="1:8" ht="60" x14ac:dyDescent="0.25">
      <c r="A8" s="29">
        <f t="shared" ref="A8:A24" si="1">B8-B7</f>
        <v>5</v>
      </c>
      <c r="B8" s="29">
        <f t="shared" si="0"/>
        <v>42</v>
      </c>
      <c r="C8" s="27">
        <v>41682</v>
      </c>
      <c r="D8" s="28" t="s">
        <v>342</v>
      </c>
      <c r="E8" s="28" t="s">
        <v>353</v>
      </c>
      <c r="F8" s="25" t="s">
        <v>25</v>
      </c>
      <c r="G8" s="16">
        <v>180</v>
      </c>
      <c r="H8" s="16" t="s">
        <v>220</v>
      </c>
    </row>
    <row r="9" spans="1:8" ht="30" x14ac:dyDescent="0.25">
      <c r="A9" s="29">
        <f t="shared" si="1"/>
        <v>1</v>
      </c>
      <c r="B9" s="29">
        <f t="shared" si="0"/>
        <v>43</v>
      </c>
      <c r="C9" s="27">
        <v>41683</v>
      </c>
      <c r="D9" s="28" t="s">
        <v>342</v>
      </c>
      <c r="E9" s="28" t="s">
        <v>353</v>
      </c>
      <c r="F9" s="28" t="s">
        <v>26</v>
      </c>
      <c r="G9" s="16">
        <v>60</v>
      </c>
      <c r="H9" s="28" t="s">
        <v>219</v>
      </c>
    </row>
    <row r="10" spans="1:8" ht="30" x14ac:dyDescent="0.25">
      <c r="A10" s="29">
        <f t="shared" si="1"/>
        <v>31</v>
      </c>
      <c r="B10" s="29">
        <f t="shared" si="0"/>
        <v>74</v>
      </c>
      <c r="C10" s="27">
        <v>41712</v>
      </c>
      <c r="D10" s="28" t="s">
        <v>342</v>
      </c>
      <c r="E10" s="28" t="s">
        <v>353</v>
      </c>
      <c r="F10" s="25" t="s">
        <v>37</v>
      </c>
      <c r="G10" s="16">
        <v>30</v>
      </c>
      <c r="H10" s="16" t="s">
        <v>219</v>
      </c>
    </row>
    <row r="11" spans="1:8" ht="30" x14ac:dyDescent="0.25">
      <c r="A11" s="29">
        <f t="shared" si="1"/>
        <v>18</v>
      </c>
      <c r="B11" s="29">
        <f t="shared" si="0"/>
        <v>92</v>
      </c>
      <c r="C11" s="27">
        <v>41731</v>
      </c>
      <c r="D11" s="28" t="s">
        <v>333</v>
      </c>
      <c r="E11" s="28" t="s">
        <v>369</v>
      </c>
      <c r="F11" s="28" t="s">
        <v>27</v>
      </c>
      <c r="G11" s="16">
        <f>7*24*60</f>
        <v>10080</v>
      </c>
      <c r="H11" s="28" t="s">
        <v>219</v>
      </c>
    </row>
    <row r="12" spans="1:8" ht="30" x14ac:dyDescent="0.25">
      <c r="A12" s="29">
        <f t="shared" si="1"/>
        <v>5</v>
      </c>
      <c r="B12" s="29">
        <f t="shared" si="0"/>
        <v>97</v>
      </c>
      <c r="C12" s="27">
        <v>41736</v>
      </c>
      <c r="D12" s="28" t="s">
        <v>333</v>
      </c>
      <c r="E12" s="28" t="s">
        <v>6</v>
      </c>
      <c r="F12" s="28" t="s">
        <v>362</v>
      </c>
      <c r="G12" s="16">
        <f>12*60</f>
        <v>720</v>
      </c>
      <c r="H12" s="28" t="s">
        <v>219</v>
      </c>
    </row>
    <row r="13" spans="1:8" ht="45" x14ac:dyDescent="0.25">
      <c r="A13" s="29">
        <f t="shared" si="1"/>
        <v>12</v>
      </c>
      <c r="B13" s="29">
        <f t="shared" si="0"/>
        <v>109</v>
      </c>
      <c r="C13" s="27">
        <v>41748</v>
      </c>
      <c r="D13" s="28" t="s">
        <v>406</v>
      </c>
      <c r="E13" s="28" t="s">
        <v>6</v>
      </c>
      <c r="F13" s="28" t="s">
        <v>38</v>
      </c>
      <c r="G13" s="16">
        <f>2*24*60</f>
        <v>2880</v>
      </c>
      <c r="H13" s="28" t="s">
        <v>220</v>
      </c>
    </row>
    <row r="14" spans="1:8" ht="45" x14ac:dyDescent="0.25">
      <c r="A14" s="29">
        <f t="shared" si="1"/>
        <v>17</v>
      </c>
      <c r="B14" s="29">
        <f t="shared" si="0"/>
        <v>126</v>
      </c>
      <c r="C14" s="27">
        <v>41765</v>
      </c>
      <c r="D14" s="28" t="s">
        <v>370</v>
      </c>
      <c r="E14" s="28" t="s">
        <v>384</v>
      </c>
      <c r="F14" s="28" t="s">
        <v>28</v>
      </c>
      <c r="G14" s="16">
        <f>6*60</f>
        <v>360</v>
      </c>
      <c r="H14" s="28" t="s">
        <v>219</v>
      </c>
    </row>
    <row r="15" spans="1:8" ht="60" x14ac:dyDescent="0.25">
      <c r="A15" s="29">
        <f t="shared" si="1"/>
        <v>13</v>
      </c>
      <c r="B15" s="29">
        <f t="shared" si="0"/>
        <v>139</v>
      </c>
      <c r="C15" s="27">
        <v>41778</v>
      </c>
      <c r="D15" s="28" t="s">
        <v>333</v>
      </c>
      <c r="E15" s="28" t="s">
        <v>353</v>
      </c>
      <c r="F15" s="28" t="s">
        <v>184</v>
      </c>
      <c r="G15" s="16">
        <v>180</v>
      </c>
      <c r="H15" s="28" t="s">
        <v>220</v>
      </c>
    </row>
    <row r="16" spans="1:8" ht="30" x14ac:dyDescent="0.25">
      <c r="A16" s="29">
        <f t="shared" si="1"/>
        <v>0</v>
      </c>
      <c r="B16" s="29">
        <f t="shared" si="0"/>
        <v>139</v>
      </c>
      <c r="C16" s="27">
        <v>41778</v>
      </c>
      <c r="D16" s="28" t="s">
        <v>342</v>
      </c>
      <c r="E16" s="28" t="s">
        <v>353</v>
      </c>
      <c r="F16" s="28" t="s">
        <v>29</v>
      </c>
      <c r="G16" s="16">
        <f>8*60</f>
        <v>480</v>
      </c>
      <c r="H16" s="28" t="s">
        <v>219</v>
      </c>
    </row>
    <row r="17" spans="1:8" ht="30" x14ac:dyDescent="0.25">
      <c r="A17" s="29">
        <f t="shared" si="1"/>
        <v>3</v>
      </c>
      <c r="B17" s="29">
        <f t="shared" si="0"/>
        <v>142</v>
      </c>
      <c r="C17" s="27">
        <v>41781</v>
      </c>
      <c r="D17" s="28" t="s">
        <v>342</v>
      </c>
      <c r="E17" s="28" t="s">
        <v>353</v>
      </c>
      <c r="F17" s="28" t="s">
        <v>30</v>
      </c>
      <c r="G17" s="16">
        <v>30</v>
      </c>
      <c r="H17" s="28" t="s">
        <v>219</v>
      </c>
    </row>
    <row r="18" spans="1:8" ht="30" x14ac:dyDescent="0.25">
      <c r="A18" s="29">
        <f t="shared" si="1"/>
        <v>10</v>
      </c>
      <c r="B18" s="29">
        <f t="shared" si="0"/>
        <v>152</v>
      </c>
      <c r="C18" s="27">
        <v>41792</v>
      </c>
      <c r="D18" s="28" t="s">
        <v>342</v>
      </c>
      <c r="E18" s="28" t="s">
        <v>6</v>
      </c>
      <c r="F18" s="25" t="s">
        <v>31</v>
      </c>
      <c r="G18" s="16">
        <v>30</v>
      </c>
      <c r="H18" s="28" t="s">
        <v>220</v>
      </c>
    </row>
    <row r="19" spans="1:8" x14ac:dyDescent="0.25">
      <c r="A19" s="29">
        <f t="shared" si="1"/>
        <v>28</v>
      </c>
      <c r="B19" s="29">
        <f t="shared" si="0"/>
        <v>180</v>
      </c>
      <c r="C19" s="27">
        <v>41820</v>
      </c>
      <c r="D19" s="28" t="s">
        <v>370</v>
      </c>
      <c r="E19" s="28" t="s">
        <v>374</v>
      </c>
      <c r="F19" s="25" t="s">
        <v>33</v>
      </c>
      <c r="G19" s="16">
        <f>11.5*60</f>
        <v>690</v>
      </c>
      <c r="H19" s="28" t="s">
        <v>220</v>
      </c>
    </row>
    <row r="20" spans="1:8" ht="105" x14ac:dyDescent="0.25">
      <c r="A20" s="29">
        <f t="shared" si="1"/>
        <v>7</v>
      </c>
      <c r="B20" s="29">
        <f t="shared" si="0"/>
        <v>187</v>
      </c>
      <c r="C20" s="27">
        <v>41827</v>
      </c>
      <c r="D20" s="28" t="s">
        <v>370</v>
      </c>
      <c r="E20" s="28" t="s">
        <v>376</v>
      </c>
      <c r="F20" s="28" t="s">
        <v>32</v>
      </c>
      <c r="G20" s="16">
        <f>31*24*60</f>
        <v>44640</v>
      </c>
      <c r="H20" s="28" t="s">
        <v>219</v>
      </c>
    </row>
    <row r="21" spans="1:8" ht="45" x14ac:dyDescent="0.25">
      <c r="A21" s="29">
        <f t="shared" si="1"/>
        <v>24</v>
      </c>
      <c r="B21" s="29">
        <f t="shared" si="0"/>
        <v>211</v>
      </c>
      <c r="C21" s="27">
        <v>41852</v>
      </c>
      <c r="D21" s="28" t="s">
        <v>370</v>
      </c>
      <c r="E21" s="28" t="s">
        <v>378</v>
      </c>
      <c r="F21" s="28" t="s">
        <v>34</v>
      </c>
      <c r="G21" s="16">
        <v>240</v>
      </c>
      <c r="H21" s="28" t="s">
        <v>219</v>
      </c>
    </row>
    <row r="22" spans="1:8" ht="75" x14ac:dyDescent="0.25">
      <c r="A22" s="29">
        <f t="shared" si="1"/>
        <v>45</v>
      </c>
      <c r="B22" s="29">
        <f t="shared" si="0"/>
        <v>256</v>
      </c>
      <c r="C22" s="27">
        <v>41898</v>
      </c>
      <c r="D22" s="28" t="s">
        <v>333</v>
      </c>
      <c r="E22" s="28" t="s">
        <v>6</v>
      </c>
      <c r="F22" s="25" t="s">
        <v>35</v>
      </c>
      <c r="G22" s="16">
        <v>120</v>
      </c>
      <c r="H22" s="28" t="s">
        <v>220</v>
      </c>
    </row>
    <row r="23" spans="1:8" ht="45" x14ac:dyDescent="0.25">
      <c r="A23" s="29">
        <f t="shared" si="1"/>
        <v>34</v>
      </c>
      <c r="B23" s="29">
        <f t="shared" si="0"/>
        <v>290</v>
      </c>
      <c r="C23" s="27">
        <v>41932</v>
      </c>
      <c r="D23" s="28" t="s">
        <v>342</v>
      </c>
      <c r="E23" s="28" t="s">
        <v>353</v>
      </c>
      <c r="F23" s="28" t="s">
        <v>36</v>
      </c>
      <c r="G23" s="16">
        <f>8*60+120</f>
        <v>600</v>
      </c>
      <c r="H23" s="28" t="s">
        <v>219</v>
      </c>
    </row>
    <row r="24" spans="1:8" ht="30" x14ac:dyDescent="0.25">
      <c r="A24" s="29">
        <f t="shared" si="1"/>
        <v>44</v>
      </c>
      <c r="B24" s="29">
        <f t="shared" si="0"/>
        <v>334</v>
      </c>
      <c r="C24" s="27">
        <v>41977</v>
      </c>
      <c r="D24" s="28" t="s">
        <v>406</v>
      </c>
      <c r="E24" s="28" t="s">
        <v>6</v>
      </c>
      <c r="F24" s="28" t="s">
        <v>20</v>
      </c>
      <c r="G24" s="16">
        <v>120</v>
      </c>
      <c r="H24" s="28" t="s">
        <v>220</v>
      </c>
    </row>
    <row r="25" spans="1:8" x14ac:dyDescent="0.25">
      <c r="A25" s="19"/>
      <c r="B25" s="20"/>
    </row>
    <row r="26" spans="1:8" x14ac:dyDescent="0.25">
      <c r="A26" s="21" t="s">
        <v>183</v>
      </c>
      <c r="B26" s="20"/>
    </row>
    <row r="27" spans="1:8" x14ac:dyDescent="0.25">
      <c r="A27" s="16" t="s">
        <v>217</v>
      </c>
      <c r="B27" s="20"/>
    </row>
    <row r="28" spans="1:8" x14ac:dyDescent="0.25">
      <c r="B28" s="20"/>
    </row>
    <row r="29" spans="1:8" x14ac:dyDescent="0.25">
      <c r="B29" s="20"/>
    </row>
    <row r="30" spans="1:8" x14ac:dyDescent="0.25">
      <c r="B30" s="20"/>
    </row>
    <row r="31" spans="1:8" x14ac:dyDescent="0.25">
      <c r="B31" s="20"/>
    </row>
    <row r="32" spans="1:8" x14ac:dyDescent="0.25">
      <c r="B32" s="20"/>
    </row>
    <row r="33" spans="2:2" x14ac:dyDescent="0.25">
      <c r="B33" s="20"/>
    </row>
    <row r="34" spans="2:2" x14ac:dyDescent="0.25">
      <c r="B34" s="20"/>
    </row>
    <row r="35" spans="2:2" x14ac:dyDescent="0.25">
      <c r="B35" s="20"/>
    </row>
    <row r="36" spans="2:2" x14ac:dyDescent="0.25">
      <c r="B36" s="20"/>
    </row>
    <row r="37" spans="2:2" x14ac:dyDescent="0.25">
      <c r="B37" s="20"/>
    </row>
    <row r="38" spans="2:2" x14ac:dyDescent="0.25">
      <c r="B38" s="20"/>
    </row>
    <row r="39" spans="2:2" x14ac:dyDescent="0.25">
      <c r="B39" s="20"/>
    </row>
    <row r="40" spans="2:2" x14ac:dyDescent="0.25">
      <c r="B40" s="20"/>
    </row>
    <row r="41" spans="2:2" x14ac:dyDescent="0.25">
      <c r="B41" s="20"/>
    </row>
    <row r="42" spans="2:2" x14ac:dyDescent="0.25">
      <c r="B42" s="20"/>
    </row>
    <row r="43" spans="2:2" x14ac:dyDescent="0.25">
      <c r="B43" s="20"/>
    </row>
    <row r="44" spans="2:2" x14ac:dyDescent="0.25">
      <c r="B44" s="20"/>
    </row>
    <row r="45" spans="2:2" x14ac:dyDescent="0.25">
      <c r="B45" s="20"/>
    </row>
    <row r="46" spans="2:2" x14ac:dyDescent="0.25">
      <c r="B46" s="20"/>
    </row>
    <row r="47" spans="2:2" x14ac:dyDescent="0.25">
      <c r="B47" s="20"/>
    </row>
    <row r="48" spans="2:2" x14ac:dyDescent="0.25">
      <c r="B48" s="20"/>
    </row>
    <row r="49" spans="2:2" x14ac:dyDescent="0.25">
      <c r="B49" s="20"/>
    </row>
    <row r="50" spans="2:2" x14ac:dyDescent="0.25">
      <c r="B50" s="20"/>
    </row>
    <row r="51" spans="2:2" x14ac:dyDescent="0.25">
      <c r="B51" s="20"/>
    </row>
    <row r="52" spans="2:2" x14ac:dyDescent="0.25">
      <c r="B52" s="20"/>
    </row>
    <row r="53" spans="2:2" x14ac:dyDescent="0.25">
      <c r="B53" s="20"/>
    </row>
  </sheetData>
  <sheetProtection sheet="1" objects="1" scenarios="1"/>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sheetPr>
  <dimension ref="B2:I51"/>
  <sheetViews>
    <sheetView zoomScaleNormal="100" workbookViewId="0">
      <selection activeCell="P30" sqref="P30"/>
    </sheetView>
  </sheetViews>
  <sheetFormatPr defaultRowHeight="15" x14ac:dyDescent="0.25"/>
  <cols>
    <col min="1" max="1" width="3" customWidth="1"/>
    <col min="2" max="2" width="10.42578125" bestFit="1" customWidth="1"/>
    <col min="3" max="3" width="12" bestFit="1" customWidth="1"/>
    <col min="4" max="4" width="10.42578125" bestFit="1" customWidth="1"/>
    <col min="5" max="5" width="9.140625" customWidth="1"/>
    <col min="6" max="6" width="10.42578125" bestFit="1" customWidth="1"/>
    <col min="7" max="7" width="12" bestFit="1" customWidth="1"/>
    <col min="8" max="8" width="10.42578125" bestFit="1" customWidth="1"/>
    <col min="9" max="9" width="20" bestFit="1" customWidth="1"/>
  </cols>
  <sheetData>
    <row r="2" spans="2:9" x14ac:dyDescent="0.25">
      <c r="B2" s="123" t="s">
        <v>178</v>
      </c>
      <c r="C2" s="123"/>
      <c r="D2" s="123"/>
      <c r="F2" s="123" t="s">
        <v>177</v>
      </c>
      <c r="G2" s="123"/>
      <c r="H2" s="123"/>
      <c r="I2" s="123"/>
    </row>
    <row r="3" spans="2:9" x14ac:dyDescent="0.25">
      <c r="B3" s="123"/>
      <c r="C3" s="123"/>
      <c r="D3" s="123"/>
      <c r="F3" s="123"/>
      <c r="G3" s="123"/>
      <c r="H3" s="123"/>
      <c r="I3" s="123"/>
    </row>
    <row r="4" spans="2:9" x14ac:dyDescent="0.25">
      <c r="B4" s="7" t="s">
        <v>165</v>
      </c>
      <c r="C4" s="7" t="s">
        <v>168</v>
      </c>
      <c r="D4" s="7" t="s">
        <v>5</v>
      </c>
      <c r="E4" s="2"/>
      <c r="F4" s="7" t="s">
        <v>165</v>
      </c>
      <c r="G4" s="7" t="s">
        <v>168</v>
      </c>
      <c r="H4" s="7" t="s">
        <v>5</v>
      </c>
      <c r="I4" s="7" t="s">
        <v>2</v>
      </c>
    </row>
    <row r="5" spans="2:9" x14ac:dyDescent="0.25">
      <c r="B5" s="8">
        <v>41639</v>
      </c>
      <c r="C5" s="8"/>
      <c r="D5" s="9"/>
      <c r="F5" s="8">
        <f>B5</f>
        <v>41639</v>
      </c>
      <c r="G5" s="8"/>
      <c r="H5" s="9"/>
      <c r="I5" s="9"/>
    </row>
    <row r="6" spans="2:9" x14ac:dyDescent="0.25">
      <c r="B6" s="6">
        <f>DAYS360($B$5,D6)</f>
        <v>20</v>
      </c>
      <c r="C6" s="10">
        <v>1</v>
      </c>
      <c r="D6" s="5">
        <v>41659</v>
      </c>
      <c r="F6" s="6">
        <f t="shared" ref="F6:F24" si="0">DAYS360($B$5,H6)</f>
        <v>109</v>
      </c>
      <c r="G6" s="10">
        <v>1</v>
      </c>
      <c r="H6" s="5">
        <v>41748</v>
      </c>
      <c r="I6" s="6" t="s">
        <v>406</v>
      </c>
    </row>
    <row r="7" spans="2:9" x14ac:dyDescent="0.25">
      <c r="B7" s="6">
        <f t="shared" ref="B7:B23" si="1">DAYS360($B$5,D7)</f>
        <v>37</v>
      </c>
      <c r="C7" s="10">
        <v>1</v>
      </c>
      <c r="D7" s="5">
        <v>41677</v>
      </c>
      <c r="F7" s="6">
        <f t="shared" si="0"/>
        <v>334</v>
      </c>
      <c r="G7" s="10">
        <v>1</v>
      </c>
      <c r="H7" s="5">
        <v>41977</v>
      </c>
      <c r="I7" s="6" t="s">
        <v>406</v>
      </c>
    </row>
    <row r="8" spans="2:9" x14ac:dyDescent="0.25">
      <c r="B8" s="6">
        <f t="shared" si="1"/>
        <v>42</v>
      </c>
      <c r="C8" s="10">
        <v>1</v>
      </c>
      <c r="D8" s="5">
        <v>41682</v>
      </c>
      <c r="F8" s="6">
        <f t="shared" si="0"/>
        <v>20</v>
      </c>
      <c r="G8" s="10">
        <v>1</v>
      </c>
      <c r="H8" s="5">
        <v>41659</v>
      </c>
      <c r="I8" s="6" t="s">
        <v>333</v>
      </c>
    </row>
    <row r="9" spans="2:9" x14ac:dyDescent="0.25">
      <c r="B9" s="6">
        <f t="shared" si="1"/>
        <v>43</v>
      </c>
      <c r="C9" s="10">
        <v>1</v>
      </c>
      <c r="D9" s="5">
        <v>41683</v>
      </c>
      <c r="F9" s="6">
        <f t="shared" si="0"/>
        <v>92</v>
      </c>
      <c r="G9" s="10">
        <v>1</v>
      </c>
      <c r="H9" s="5">
        <v>41731</v>
      </c>
      <c r="I9" s="6" t="s">
        <v>333</v>
      </c>
    </row>
    <row r="10" spans="2:9" x14ac:dyDescent="0.25">
      <c r="B10" s="6">
        <f t="shared" si="1"/>
        <v>74</v>
      </c>
      <c r="C10" s="10">
        <v>1</v>
      </c>
      <c r="D10" s="5">
        <v>41712</v>
      </c>
      <c r="F10" s="6">
        <f t="shared" si="0"/>
        <v>97</v>
      </c>
      <c r="G10" s="10">
        <v>1</v>
      </c>
      <c r="H10" s="5">
        <v>41736</v>
      </c>
      <c r="I10" s="6" t="s">
        <v>333</v>
      </c>
    </row>
    <row r="11" spans="2:9" x14ac:dyDescent="0.25">
      <c r="B11" s="6">
        <f t="shared" si="1"/>
        <v>92</v>
      </c>
      <c r="C11" s="10">
        <v>1</v>
      </c>
      <c r="D11" s="5">
        <v>41731</v>
      </c>
      <c r="F11" s="6">
        <f t="shared" si="0"/>
        <v>139</v>
      </c>
      <c r="G11" s="10">
        <v>1</v>
      </c>
      <c r="H11" s="5">
        <v>41778</v>
      </c>
      <c r="I11" s="6" t="s">
        <v>333</v>
      </c>
    </row>
    <row r="12" spans="2:9" x14ac:dyDescent="0.25">
      <c r="B12" s="6">
        <f t="shared" si="1"/>
        <v>97</v>
      </c>
      <c r="C12" s="10">
        <v>1</v>
      </c>
      <c r="D12" s="5">
        <v>41736</v>
      </c>
      <c r="F12" s="6">
        <f t="shared" si="0"/>
        <v>256</v>
      </c>
      <c r="G12" s="10">
        <v>1</v>
      </c>
      <c r="H12" s="5">
        <v>41898</v>
      </c>
      <c r="I12" s="6" t="s">
        <v>333</v>
      </c>
    </row>
    <row r="13" spans="2:9" x14ac:dyDescent="0.25">
      <c r="B13" s="6">
        <f t="shared" si="1"/>
        <v>109</v>
      </c>
      <c r="C13" s="10">
        <v>1</v>
      </c>
      <c r="D13" s="5">
        <v>41748</v>
      </c>
      <c r="F13" s="6">
        <f t="shared" si="0"/>
        <v>42</v>
      </c>
      <c r="G13" s="10">
        <v>1</v>
      </c>
      <c r="H13" s="5">
        <v>41682</v>
      </c>
      <c r="I13" s="6" t="s">
        <v>342</v>
      </c>
    </row>
    <row r="14" spans="2:9" x14ac:dyDescent="0.25">
      <c r="B14" s="6">
        <f t="shared" si="1"/>
        <v>126</v>
      </c>
      <c r="C14" s="10">
        <v>1</v>
      </c>
      <c r="D14" s="5">
        <v>41765</v>
      </c>
      <c r="F14" s="6">
        <f t="shared" si="0"/>
        <v>43</v>
      </c>
      <c r="G14" s="10">
        <v>1</v>
      </c>
      <c r="H14" s="5">
        <v>41683</v>
      </c>
      <c r="I14" s="6" t="s">
        <v>342</v>
      </c>
    </row>
    <row r="15" spans="2:9" x14ac:dyDescent="0.25">
      <c r="B15" s="6">
        <f t="shared" si="1"/>
        <v>139</v>
      </c>
      <c r="C15" s="10">
        <v>2</v>
      </c>
      <c r="D15" s="5">
        <v>41778</v>
      </c>
      <c r="F15" s="6">
        <f t="shared" si="0"/>
        <v>74</v>
      </c>
      <c r="G15" s="10">
        <v>1</v>
      </c>
      <c r="H15" s="5">
        <v>41712</v>
      </c>
      <c r="I15" s="6" t="s">
        <v>342</v>
      </c>
    </row>
    <row r="16" spans="2:9" x14ac:dyDescent="0.25">
      <c r="B16" s="6">
        <f t="shared" si="1"/>
        <v>142</v>
      </c>
      <c r="C16" s="10">
        <v>1</v>
      </c>
      <c r="D16" s="5">
        <v>41781</v>
      </c>
      <c r="F16" s="6">
        <f t="shared" si="0"/>
        <v>139</v>
      </c>
      <c r="G16" s="10">
        <v>1</v>
      </c>
      <c r="H16" s="5">
        <v>41778</v>
      </c>
      <c r="I16" s="6" t="s">
        <v>342</v>
      </c>
    </row>
    <row r="17" spans="2:9" x14ac:dyDescent="0.25">
      <c r="B17" s="6">
        <f t="shared" si="1"/>
        <v>152</v>
      </c>
      <c r="C17" s="10">
        <v>1</v>
      </c>
      <c r="D17" s="5">
        <v>41792</v>
      </c>
      <c r="F17" s="6">
        <f t="shared" si="0"/>
        <v>142</v>
      </c>
      <c r="G17" s="10">
        <v>1</v>
      </c>
      <c r="H17" s="5">
        <v>41781</v>
      </c>
      <c r="I17" s="6" t="s">
        <v>342</v>
      </c>
    </row>
    <row r="18" spans="2:9" x14ac:dyDescent="0.25">
      <c r="B18" s="6">
        <f t="shared" si="1"/>
        <v>180</v>
      </c>
      <c r="C18" s="10">
        <v>1</v>
      </c>
      <c r="D18" s="5">
        <v>41820</v>
      </c>
      <c r="F18" s="6">
        <f t="shared" si="0"/>
        <v>152</v>
      </c>
      <c r="G18" s="10">
        <v>1</v>
      </c>
      <c r="H18" s="5">
        <v>41792</v>
      </c>
      <c r="I18" s="6" t="s">
        <v>342</v>
      </c>
    </row>
    <row r="19" spans="2:9" x14ac:dyDescent="0.25">
      <c r="B19" s="6">
        <f t="shared" si="1"/>
        <v>187</v>
      </c>
      <c r="C19" s="10">
        <v>1</v>
      </c>
      <c r="D19" s="5">
        <v>41827</v>
      </c>
      <c r="F19" s="6">
        <f t="shared" si="0"/>
        <v>290</v>
      </c>
      <c r="G19" s="10">
        <v>1</v>
      </c>
      <c r="H19" s="5">
        <v>41932</v>
      </c>
      <c r="I19" s="6" t="s">
        <v>342</v>
      </c>
    </row>
    <row r="20" spans="2:9" x14ac:dyDescent="0.25">
      <c r="B20" s="6">
        <f t="shared" si="1"/>
        <v>211</v>
      </c>
      <c r="C20" s="10">
        <v>1</v>
      </c>
      <c r="D20" s="5">
        <v>41852</v>
      </c>
      <c r="F20" s="6">
        <f t="shared" si="0"/>
        <v>37</v>
      </c>
      <c r="G20" s="10">
        <v>1</v>
      </c>
      <c r="H20" s="5">
        <v>41677</v>
      </c>
      <c r="I20" s="6" t="s">
        <v>385</v>
      </c>
    </row>
    <row r="21" spans="2:9" x14ac:dyDescent="0.25">
      <c r="B21" s="6">
        <f t="shared" si="1"/>
        <v>256</v>
      </c>
      <c r="C21" s="10">
        <v>1</v>
      </c>
      <c r="D21" s="5">
        <v>41898</v>
      </c>
      <c r="F21" s="6">
        <f t="shared" si="0"/>
        <v>126</v>
      </c>
      <c r="G21" s="10">
        <v>1</v>
      </c>
      <c r="H21" s="5">
        <v>41765</v>
      </c>
      <c r="I21" s="6" t="s">
        <v>370</v>
      </c>
    </row>
    <row r="22" spans="2:9" x14ac:dyDescent="0.25">
      <c r="B22" s="6">
        <f t="shared" si="1"/>
        <v>290</v>
      </c>
      <c r="C22" s="10">
        <v>1</v>
      </c>
      <c r="D22" s="5">
        <v>41932</v>
      </c>
      <c r="F22" s="6">
        <f t="shared" si="0"/>
        <v>180</v>
      </c>
      <c r="G22" s="10">
        <v>1</v>
      </c>
      <c r="H22" s="5">
        <v>41820</v>
      </c>
      <c r="I22" s="6" t="s">
        <v>370</v>
      </c>
    </row>
    <row r="23" spans="2:9" x14ac:dyDescent="0.25">
      <c r="B23" s="6">
        <f t="shared" si="1"/>
        <v>334</v>
      </c>
      <c r="C23" s="10">
        <v>1</v>
      </c>
      <c r="D23" s="5">
        <v>41977</v>
      </c>
      <c r="F23" s="6">
        <f t="shared" si="0"/>
        <v>187</v>
      </c>
      <c r="G23" s="10">
        <v>1</v>
      </c>
      <c r="H23" s="5">
        <v>41827</v>
      </c>
      <c r="I23" s="6" t="s">
        <v>370</v>
      </c>
    </row>
    <row r="24" spans="2:9" x14ac:dyDescent="0.25">
      <c r="B24" s="11"/>
      <c r="C24" s="12"/>
      <c r="D24" s="1"/>
      <c r="F24" s="6">
        <f t="shared" si="0"/>
        <v>211</v>
      </c>
      <c r="G24" s="10">
        <v>1</v>
      </c>
      <c r="H24" s="5">
        <v>41852</v>
      </c>
      <c r="I24" s="6" t="s">
        <v>370</v>
      </c>
    </row>
    <row r="25" spans="2:9" x14ac:dyDescent="0.25">
      <c r="B25" s="3"/>
      <c r="D25" s="1"/>
    </row>
    <row r="26" spans="2:9" x14ac:dyDescent="0.25">
      <c r="B26" s="3"/>
    </row>
    <row r="27" spans="2:9" x14ac:dyDescent="0.25">
      <c r="B27" s="3"/>
    </row>
    <row r="28" spans="2:9" x14ac:dyDescent="0.25">
      <c r="B28" s="3"/>
    </row>
    <row r="29" spans="2:9" x14ac:dyDescent="0.25">
      <c r="B29" s="3"/>
    </row>
    <row r="30" spans="2:9" x14ac:dyDescent="0.25">
      <c r="B30" s="3"/>
    </row>
    <row r="31" spans="2:9" x14ac:dyDescent="0.25">
      <c r="B31" s="3"/>
    </row>
    <row r="32" spans="2:9" x14ac:dyDescent="0.25">
      <c r="B32" s="3"/>
    </row>
    <row r="33" spans="2:2" x14ac:dyDescent="0.25">
      <c r="B33" s="3"/>
    </row>
    <row r="34" spans="2:2" x14ac:dyDescent="0.25">
      <c r="B34" s="3"/>
    </row>
    <row r="35" spans="2:2" x14ac:dyDescent="0.25">
      <c r="B35" s="3"/>
    </row>
    <row r="36" spans="2:2" x14ac:dyDescent="0.25">
      <c r="B36" s="3"/>
    </row>
    <row r="37" spans="2:2" x14ac:dyDescent="0.25">
      <c r="B37" s="3"/>
    </row>
    <row r="38" spans="2:2" x14ac:dyDescent="0.25">
      <c r="B38" s="3"/>
    </row>
    <row r="39" spans="2:2" x14ac:dyDescent="0.25">
      <c r="B39" s="3"/>
    </row>
    <row r="40" spans="2:2" x14ac:dyDescent="0.25">
      <c r="B40" s="3"/>
    </row>
    <row r="41" spans="2:2" x14ac:dyDescent="0.25">
      <c r="B41" s="3"/>
    </row>
    <row r="42" spans="2:2" x14ac:dyDescent="0.25">
      <c r="B42" s="3"/>
    </row>
    <row r="43" spans="2:2" x14ac:dyDescent="0.25">
      <c r="B43" s="3"/>
    </row>
    <row r="44" spans="2:2" x14ac:dyDescent="0.25">
      <c r="B44" s="3"/>
    </row>
    <row r="45" spans="2:2" x14ac:dyDescent="0.25">
      <c r="B45" s="3"/>
    </row>
    <row r="46" spans="2:2" x14ac:dyDescent="0.25">
      <c r="B46" s="3"/>
    </row>
    <row r="47" spans="2:2" x14ac:dyDescent="0.25">
      <c r="B47" s="3"/>
    </row>
    <row r="48" spans="2:2" x14ac:dyDescent="0.25">
      <c r="B48" s="3"/>
    </row>
    <row r="49" spans="2:2" x14ac:dyDescent="0.25">
      <c r="B49" s="3"/>
    </row>
    <row r="50" spans="2:2" x14ac:dyDescent="0.25">
      <c r="B50" s="3"/>
    </row>
    <row r="51" spans="2:2" x14ac:dyDescent="0.25">
      <c r="B51" s="3"/>
    </row>
  </sheetData>
  <sheetProtection sheet="1" objects="1" scenarios="1"/>
  <sortState ref="F6:I24">
    <sortCondition ref="I6:I24"/>
  </sortState>
  <mergeCells count="2">
    <mergeCell ref="B2:D3"/>
    <mergeCell ref="F2:I3"/>
  </mergeCells>
  <pageMargins left="0.7" right="0.7" top="0.75" bottom="0.75" header="0.3" footer="0.3"/>
  <pageSetup paperSize="9" orientation="portrait" horizontalDpi="300" verticalDpi="0" copies="0"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7030A0"/>
  </sheetPr>
  <dimension ref="B2:AG42"/>
  <sheetViews>
    <sheetView zoomScale="85" zoomScaleNormal="85" workbookViewId="0">
      <selection activeCell="L31" sqref="L31"/>
    </sheetView>
  </sheetViews>
  <sheetFormatPr defaultRowHeight="15" x14ac:dyDescent="0.25"/>
  <cols>
    <col min="1" max="1" width="3" customWidth="1"/>
    <col min="2" max="2" width="10.42578125" bestFit="1" customWidth="1"/>
    <col min="3" max="3" width="12" bestFit="1" customWidth="1"/>
    <col min="4" max="4" width="10.42578125" bestFit="1" customWidth="1"/>
    <col min="5" max="5" width="20" bestFit="1" customWidth="1"/>
    <col min="7" max="7" width="10.85546875" bestFit="1" customWidth="1"/>
    <col min="8" max="8" width="14.85546875" bestFit="1" customWidth="1"/>
    <col min="9" max="9" width="12" bestFit="1" customWidth="1"/>
    <col min="10" max="10" width="10.7109375" bestFit="1" customWidth="1"/>
    <col min="11" max="11" width="10.7109375" customWidth="1"/>
    <col min="12" max="12" width="12.28515625" bestFit="1" customWidth="1"/>
    <col min="13" max="13" width="13.7109375" bestFit="1" customWidth="1"/>
    <col min="14" max="14" width="10.7109375" customWidth="1"/>
    <col min="15" max="15" width="12" bestFit="1" customWidth="1"/>
    <col min="16" max="16" width="10.7109375" customWidth="1"/>
    <col min="17" max="17" width="14" bestFit="1" customWidth="1"/>
    <col min="19" max="20" width="10.42578125" bestFit="1" customWidth="1"/>
    <col min="21" max="21" width="20.42578125" bestFit="1" customWidth="1"/>
    <col min="22" max="22" width="11.140625" customWidth="1"/>
    <col min="23" max="23" width="10.85546875" bestFit="1" customWidth="1"/>
    <col min="24" max="24" width="14.85546875" bestFit="1" customWidth="1"/>
    <col min="25" max="25" width="11.42578125" bestFit="1" customWidth="1"/>
    <col min="26" max="27" width="11.42578125" customWidth="1"/>
    <col min="28" max="28" width="12.28515625" bestFit="1" customWidth="1"/>
    <col min="29" max="29" width="13.7109375" bestFit="1" customWidth="1"/>
    <col min="33" max="33" width="14" bestFit="1" customWidth="1"/>
  </cols>
  <sheetData>
    <row r="2" spans="2:33" ht="15" customHeight="1" x14ac:dyDescent="0.25">
      <c r="B2" s="124" t="s">
        <v>239</v>
      </c>
      <c r="C2" s="125"/>
      <c r="D2" s="125"/>
      <c r="E2" s="125"/>
      <c r="F2" s="125"/>
      <c r="G2" s="125"/>
      <c r="H2" s="125"/>
      <c r="I2" s="125"/>
      <c r="J2" s="125"/>
      <c r="K2" s="125"/>
      <c r="L2" s="125"/>
      <c r="M2" s="125"/>
      <c r="N2" s="125"/>
      <c r="O2" s="125"/>
      <c r="P2" s="125"/>
      <c r="Q2" s="126"/>
      <c r="S2" s="123" t="s">
        <v>248</v>
      </c>
      <c r="T2" s="123"/>
      <c r="U2" s="123"/>
      <c r="V2" s="123"/>
      <c r="W2" s="123"/>
      <c r="X2" s="123"/>
      <c r="Y2" s="123"/>
      <c r="Z2" s="123"/>
      <c r="AA2" s="123"/>
      <c r="AB2" s="123"/>
      <c r="AC2" s="123"/>
      <c r="AD2" s="123"/>
      <c r="AE2" s="123"/>
      <c r="AF2" s="123"/>
      <c r="AG2" s="123"/>
    </row>
    <row r="3" spans="2:33" x14ac:dyDescent="0.25">
      <c r="B3" s="127"/>
      <c r="C3" s="128"/>
      <c r="D3" s="128"/>
      <c r="E3" s="128"/>
      <c r="F3" s="128"/>
      <c r="G3" s="128"/>
      <c r="H3" s="128"/>
      <c r="I3" s="128"/>
      <c r="J3" s="128"/>
      <c r="K3" s="128"/>
      <c r="L3" s="128"/>
      <c r="M3" s="128"/>
      <c r="N3" s="128"/>
      <c r="O3" s="128"/>
      <c r="P3" s="128"/>
      <c r="Q3" s="129"/>
      <c r="S3" s="123"/>
      <c r="T3" s="123"/>
      <c r="U3" s="123"/>
      <c r="V3" s="123"/>
      <c r="W3" s="123"/>
      <c r="X3" s="123"/>
      <c r="Y3" s="123"/>
      <c r="Z3" s="123"/>
      <c r="AA3" s="123"/>
      <c r="AB3" s="123"/>
      <c r="AC3" s="123"/>
      <c r="AD3" s="123"/>
      <c r="AE3" s="123"/>
      <c r="AF3" s="123"/>
      <c r="AG3" s="123"/>
    </row>
    <row r="4" spans="2:33" x14ac:dyDescent="0.25">
      <c r="B4" s="7" t="s">
        <v>165</v>
      </c>
      <c r="C4" s="7" t="s">
        <v>168</v>
      </c>
      <c r="D4" s="7" t="s">
        <v>5</v>
      </c>
      <c r="E4" s="7" t="s">
        <v>2</v>
      </c>
      <c r="F4" s="7" t="s">
        <v>185</v>
      </c>
      <c r="G4" s="7" t="s">
        <v>191</v>
      </c>
      <c r="H4" s="7" t="s">
        <v>192</v>
      </c>
      <c r="I4" s="7" t="s">
        <v>194</v>
      </c>
      <c r="J4" s="7" t="s">
        <v>194</v>
      </c>
      <c r="K4" s="7" t="s">
        <v>223</v>
      </c>
      <c r="L4" s="7" t="s">
        <v>238</v>
      </c>
      <c r="M4" s="7" t="s">
        <v>236</v>
      </c>
      <c r="N4" s="41" t="s">
        <v>208</v>
      </c>
      <c r="O4" s="41" t="s">
        <v>230</v>
      </c>
      <c r="P4" s="41" t="s">
        <v>231</v>
      </c>
      <c r="Q4" s="41" t="s">
        <v>211</v>
      </c>
      <c r="S4" s="7" t="s">
        <v>165</v>
      </c>
      <c r="T4" s="7" t="s">
        <v>5</v>
      </c>
      <c r="U4" s="7" t="s">
        <v>197</v>
      </c>
      <c r="V4" s="7" t="s">
        <v>185</v>
      </c>
      <c r="W4" s="7" t="s">
        <v>191</v>
      </c>
      <c r="X4" s="7" t="s">
        <v>192</v>
      </c>
      <c r="Y4" s="7" t="s">
        <v>198</v>
      </c>
      <c r="Z4" s="7" t="s">
        <v>198</v>
      </c>
      <c r="AA4" s="7" t="s">
        <v>224</v>
      </c>
      <c r="AB4" s="7" t="s">
        <v>238</v>
      </c>
      <c r="AC4" s="7" t="s">
        <v>236</v>
      </c>
      <c r="AD4" s="41" t="s">
        <v>208</v>
      </c>
      <c r="AE4" s="41" t="s">
        <v>230</v>
      </c>
      <c r="AF4" s="41" t="s">
        <v>231</v>
      </c>
      <c r="AG4" s="41" t="s">
        <v>211</v>
      </c>
    </row>
    <row r="5" spans="2:33" x14ac:dyDescent="0.25">
      <c r="B5" s="8">
        <v>41639</v>
      </c>
      <c r="C5" s="8"/>
      <c r="D5" s="9"/>
      <c r="E5" s="9"/>
      <c r="F5" s="9" t="s">
        <v>187</v>
      </c>
      <c r="G5" s="9"/>
      <c r="H5" s="9" t="s">
        <v>187</v>
      </c>
      <c r="I5" s="9" t="s">
        <v>187</v>
      </c>
      <c r="J5" s="9" t="s">
        <v>199</v>
      </c>
      <c r="K5" s="9" t="s">
        <v>199</v>
      </c>
      <c r="L5" s="9" t="s">
        <v>237</v>
      </c>
      <c r="M5" s="9" t="s">
        <v>237</v>
      </c>
      <c r="N5" s="42" t="s">
        <v>233</v>
      </c>
      <c r="O5" s="42" t="s">
        <v>233</v>
      </c>
      <c r="P5" s="42" t="s">
        <v>233</v>
      </c>
      <c r="Q5" s="42" t="s">
        <v>233</v>
      </c>
      <c r="S5" s="8">
        <v>41639</v>
      </c>
      <c r="T5" s="9"/>
      <c r="U5" s="9"/>
      <c r="V5" s="9" t="s">
        <v>187</v>
      </c>
      <c r="W5" s="9"/>
      <c r="X5" s="9" t="s">
        <v>187</v>
      </c>
      <c r="Y5" s="9" t="s">
        <v>187</v>
      </c>
      <c r="Z5" s="9" t="s">
        <v>199</v>
      </c>
      <c r="AA5" s="9" t="s">
        <v>187</v>
      </c>
      <c r="AB5" s="9" t="s">
        <v>237</v>
      </c>
      <c r="AC5" s="9" t="s">
        <v>237</v>
      </c>
      <c r="AD5" s="42" t="s">
        <v>233</v>
      </c>
      <c r="AE5" s="42" t="s">
        <v>233</v>
      </c>
      <c r="AF5" s="42" t="s">
        <v>233</v>
      </c>
      <c r="AG5" s="42" t="s">
        <v>233</v>
      </c>
    </row>
    <row r="6" spans="2:33" x14ac:dyDescent="0.25">
      <c r="B6" s="6">
        <f t="shared" ref="B6:B24" si="0">DAYS360($B$5,D6)</f>
        <v>109</v>
      </c>
      <c r="C6" s="10">
        <v>1</v>
      </c>
      <c r="D6" s="5">
        <v>41748</v>
      </c>
      <c r="E6" s="6" t="s">
        <v>406</v>
      </c>
      <c r="F6" s="6">
        <v>2880</v>
      </c>
      <c r="G6" s="31"/>
      <c r="H6" s="31"/>
      <c r="I6" s="31"/>
      <c r="J6" s="31"/>
      <c r="K6" s="31"/>
      <c r="L6" s="33">
        <f>F6-$F$25</f>
        <v>-388.42105263157873</v>
      </c>
      <c r="M6" s="33">
        <f>SQRT((L6*L6)/COUNT($B$6:$B$24))</f>
        <v>89.109900840249736</v>
      </c>
      <c r="N6" s="31"/>
      <c r="O6" s="31"/>
      <c r="P6" s="31"/>
      <c r="Q6" s="31"/>
      <c r="S6" s="6">
        <f t="shared" ref="S6" si="1">DAYS360($B$5,T6)</f>
        <v>126</v>
      </c>
      <c r="T6" s="5">
        <v>41765</v>
      </c>
      <c r="U6" s="6" t="s">
        <v>383</v>
      </c>
      <c r="V6" s="6">
        <v>360</v>
      </c>
      <c r="W6" s="6">
        <f>COUNT(V6:V6)</f>
        <v>1</v>
      </c>
      <c r="X6" s="6">
        <f>SUM(V6:V6)</f>
        <v>360</v>
      </c>
      <c r="Y6" s="6">
        <f>(518400-X6)/W6</f>
        <v>518040</v>
      </c>
      <c r="Z6" s="6">
        <f>INT(Y6/60/24)</f>
        <v>359</v>
      </c>
      <c r="AA6" s="6">
        <f>X6/W6</f>
        <v>360</v>
      </c>
      <c r="AB6" s="6">
        <f>X6-V7</f>
        <v>0</v>
      </c>
      <c r="AC6" s="6">
        <f>SQRT((AB6*AB6)/COUNT(S6:S6))</f>
        <v>0</v>
      </c>
      <c r="AD6" s="6">
        <f>W6/365</f>
        <v>2.7397260273972603E-3</v>
      </c>
      <c r="AE6" s="6">
        <f>AD6*EXP(-AD6*365)</f>
        <v>1.0078888799217598E-3</v>
      </c>
      <c r="AF6" s="6">
        <f>1-EXP(-AD6*365)</f>
        <v>0.63212055882855767</v>
      </c>
      <c r="AG6" s="6">
        <f>EXP(-AD6*365)</f>
        <v>0.36787944117144233</v>
      </c>
    </row>
    <row r="7" spans="2:33" x14ac:dyDescent="0.25">
      <c r="B7" s="6">
        <f t="shared" si="0"/>
        <v>334</v>
      </c>
      <c r="C7" s="10">
        <v>1</v>
      </c>
      <c r="D7" s="5">
        <v>41977</v>
      </c>
      <c r="E7" s="6" t="s">
        <v>406</v>
      </c>
      <c r="F7" s="6">
        <v>120</v>
      </c>
      <c r="G7" s="6">
        <f>COUNT(F6:F7)</f>
        <v>2</v>
      </c>
      <c r="H7" s="6">
        <f>SUM(F6:F7)</f>
        <v>3000</v>
      </c>
      <c r="I7" s="6">
        <f>(518400-H7)/G7</f>
        <v>257700</v>
      </c>
      <c r="J7" s="6">
        <f>INT(I7/60/24)</f>
        <v>178</v>
      </c>
      <c r="K7" s="6">
        <f>H7/G7</f>
        <v>1500</v>
      </c>
      <c r="L7" s="33">
        <f t="shared" ref="L7:L24" si="2">F7-$F$25</f>
        <v>-3148.4210526315787</v>
      </c>
      <c r="M7" s="33">
        <f t="shared" ref="M7:M24" si="3">SQRT((L7*L7)/COUNT($B$6:$B$24))</f>
        <v>722.29732632300022</v>
      </c>
      <c r="N7" s="6">
        <f>G7/365</f>
        <v>5.4794520547945206E-3</v>
      </c>
      <c r="O7" s="6">
        <f>N7*EXP(-N7*365)</f>
        <v>7.4156319581705592E-4</v>
      </c>
      <c r="P7" s="6">
        <f>1-EXP(-N7*365)</f>
        <v>0.8646647167633873</v>
      </c>
      <c r="Q7" s="6">
        <f>EXP(-N7*365)</f>
        <v>0.1353352832366127</v>
      </c>
      <c r="S7" s="31"/>
      <c r="T7" s="31"/>
      <c r="U7" s="44" t="s">
        <v>235</v>
      </c>
      <c r="V7" s="6">
        <f>AVERAGE(V6)</f>
        <v>360</v>
      </c>
      <c r="W7" s="31"/>
      <c r="X7" s="31"/>
      <c r="Y7" s="31"/>
      <c r="Z7" s="31"/>
      <c r="AA7" s="31"/>
      <c r="AB7" s="31"/>
      <c r="AC7" s="31"/>
      <c r="AD7" s="31"/>
      <c r="AE7" s="31"/>
      <c r="AF7" s="31"/>
      <c r="AG7" s="31"/>
    </row>
    <row r="8" spans="2:33" x14ac:dyDescent="0.25">
      <c r="B8" s="6">
        <f t="shared" si="0"/>
        <v>20</v>
      </c>
      <c r="C8" s="10">
        <v>1</v>
      </c>
      <c r="D8" s="5">
        <v>41659</v>
      </c>
      <c r="E8" s="6" t="s">
        <v>333</v>
      </c>
      <c r="F8" s="33">
        <f>8*60</f>
        <v>480</v>
      </c>
      <c r="G8" s="31"/>
      <c r="H8" s="31"/>
      <c r="I8" s="31"/>
      <c r="J8" s="31"/>
      <c r="K8" s="31"/>
      <c r="L8" s="33">
        <f t="shared" si="2"/>
        <v>-2788.4210526315787</v>
      </c>
      <c r="M8" s="33">
        <f t="shared" si="3"/>
        <v>639.70766212959802</v>
      </c>
      <c r="N8" s="31"/>
      <c r="O8" s="31"/>
      <c r="P8" s="31"/>
      <c r="Q8" s="31"/>
      <c r="S8" s="6">
        <f>DAYS360($B$5,T8)</f>
        <v>180</v>
      </c>
      <c r="T8" s="5">
        <v>41820</v>
      </c>
      <c r="U8" s="6" t="s">
        <v>375</v>
      </c>
      <c r="V8" s="6">
        <v>690</v>
      </c>
      <c r="W8" s="6">
        <f>COUNT(V8:V8)</f>
        <v>1</v>
      </c>
      <c r="X8" s="6">
        <f>SUM(V8:V8)</f>
        <v>690</v>
      </c>
      <c r="Y8" s="6">
        <f>(518400-X8)/W8</f>
        <v>517710</v>
      </c>
      <c r="Z8" s="6">
        <f>INT(Y8/60/24)</f>
        <v>359</v>
      </c>
      <c r="AA8" s="6">
        <f>X8/W8</f>
        <v>690</v>
      </c>
      <c r="AB8" s="6">
        <f>X8-V9</f>
        <v>0</v>
      </c>
      <c r="AC8" s="6">
        <f>SQRT((AB8*AB8)/COUNT(S8:S8))</f>
        <v>0</v>
      </c>
      <c r="AD8" s="6">
        <f>W8/365</f>
        <v>2.7397260273972603E-3</v>
      </c>
      <c r="AE8" s="6">
        <f>AD8*EXP(-AD8*365)</f>
        <v>1.0078888799217598E-3</v>
      </c>
      <c r="AF8" s="6">
        <f>1-EXP(-AD8*365)</f>
        <v>0.63212055882855767</v>
      </c>
      <c r="AG8" s="6">
        <f>EXP(-AD8*365)</f>
        <v>0.36787944117144233</v>
      </c>
    </row>
    <row r="9" spans="2:33" x14ac:dyDescent="0.25">
      <c r="B9" s="6">
        <f t="shared" si="0"/>
        <v>92</v>
      </c>
      <c r="C9" s="10">
        <v>1</v>
      </c>
      <c r="D9" s="5">
        <v>41731</v>
      </c>
      <c r="E9" s="6" t="s">
        <v>333</v>
      </c>
      <c r="F9" s="33">
        <f>7*24*60</f>
        <v>10080</v>
      </c>
      <c r="G9" s="31"/>
      <c r="H9" s="31"/>
      <c r="I9" s="31"/>
      <c r="J9" s="31"/>
      <c r="K9" s="31"/>
      <c r="L9" s="33">
        <f t="shared" si="2"/>
        <v>6811.5789473684217</v>
      </c>
      <c r="M9" s="33">
        <f t="shared" si="3"/>
        <v>1562.6833830277949</v>
      </c>
      <c r="N9" s="31"/>
      <c r="O9" s="31"/>
      <c r="P9" s="31"/>
      <c r="Q9" s="31"/>
      <c r="S9" s="31"/>
      <c r="T9" s="31"/>
      <c r="U9" s="44" t="s">
        <v>235</v>
      </c>
      <c r="V9" s="6">
        <f>AVERAGE(V8)</f>
        <v>690</v>
      </c>
      <c r="W9" s="31"/>
      <c r="X9" s="31"/>
      <c r="Y9" s="31"/>
      <c r="Z9" s="31"/>
      <c r="AA9" s="31"/>
      <c r="AB9" s="31"/>
      <c r="AC9" s="31"/>
      <c r="AD9" s="31"/>
      <c r="AE9" s="31"/>
      <c r="AF9" s="31"/>
      <c r="AG9" s="31"/>
    </row>
    <row r="10" spans="2:33" x14ac:dyDescent="0.25">
      <c r="B10" s="6">
        <f t="shared" si="0"/>
        <v>97</v>
      </c>
      <c r="C10" s="10">
        <v>1</v>
      </c>
      <c r="D10" s="5">
        <v>41736</v>
      </c>
      <c r="E10" s="6" t="s">
        <v>333</v>
      </c>
      <c r="F10" s="33">
        <f>12*60</f>
        <v>720</v>
      </c>
      <c r="G10" s="31"/>
      <c r="H10" s="31"/>
      <c r="I10" s="31"/>
      <c r="J10" s="31"/>
      <c r="K10" s="31"/>
      <c r="L10" s="33">
        <f t="shared" si="2"/>
        <v>-2548.4210526315787</v>
      </c>
      <c r="M10" s="33">
        <f t="shared" si="3"/>
        <v>584.64788600066322</v>
      </c>
      <c r="N10" s="31"/>
      <c r="O10" s="31"/>
      <c r="P10" s="31"/>
      <c r="Q10" s="31"/>
      <c r="S10" s="6">
        <f>DAYS360($B$5,T10)</f>
        <v>211</v>
      </c>
      <c r="T10" s="5">
        <v>41852</v>
      </c>
      <c r="U10" s="6" t="s">
        <v>379</v>
      </c>
      <c r="V10" s="6">
        <v>240</v>
      </c>
      <c r="W10" s="6">
        <f>COUNT(V10:V10)</f>
        <v>1</v>
      </c>
      <c r="X10" s="6">
        <f>SUM(V10:V10)</f>
        <v>240</v>
      </c>
      <c r="Y10" s="6">
        <f>(518400-X10)/W10</f>
        <v>518160</v>
      </c>
      <c r="Z10" s="6">
        <f>INT(Y10/60/24)</f>
        <v>359</v>
      </c>
      <c r="AA10" s="6">
        <f>X10/W10</f>
        <v>240</v>
      </c>
      <c r="AB10" s="6">
        <f>X10-V11</f>
        <v>0</v>
      </c>
      <c r="AC10" s="6">
        <f>SQRT((AB10*AB10)/COUNT(S10:S10))</f>
        <v>0</v>
      </c>
      <c r="AD10" s="6">
        <f>W10/365</f>
        <v>2.7397260273972603E-3</v>
      </c>
      <c r="AE10" s="6">
        <f>AD10*EXP(-AD10*365)</f>
        <v>1.0078888799217598E-3</v>
      </c>
      <c r="AF10" s="6">
        <f>1-EXP(-AD10*365)</f>
        <v>0.63212055882855767</v>
      </c>
      <c r="AG10" s="6">
        <f>EXP(-AD10*365)</f>
        <v>0.36787944117144233</v>
      </c>
    </row>
    <row r="11" spans="2:33" x14ac:dyDescent="0.25">
      <c r="B11" s="6">
        <f t="shared" si="0"/>
        <v>139</v>
      </c>
      <c r="C11" s="10">
        <v>1</v>
      </c>
      <c r="D11" s="5">
        <v>41778</v>
      </c>
      <c r="E11" s="6" t="s">
        <v>333</v>
      </c>
      <c r="F11" s="33">
        <v>180</v>
      </c>
      <c r="G11" s="31"/>
      <c r="H11" s="31"/>
      <c r="I11" s="31"/>
      <c r="J11" s="31"/>
      <c r="K11" s="31"/>
      <c r="L11" s="33">
        <f t="shared" si="2"/>
        <v>-3088.4210526315787</v>
      </c>
      <c r="M11" s="33">
        <f t="shared" si="3"/>
        <v>708.53238229076646</v>
      </c>
      <c r="N11" s="31"/>
      <c r="O11" s="31"/>
      <c r="P11" s="31"/>
      <c r="Q11" s="31"/>
      <c r="S11" s="31"/>
      <c r="T11" s="31"/>
      <c r="U11" s="44" t="s">
        <v>235</v>
      </c>
      <c r="V11" s="6">
        <f>AVERAGE(V10)</f>
        <v>240</v>
      </c>
      <c r="W11" s="31"/>
      <c r="X11" s="31"/>
      <c r="Y11" s="31"/>
      <c r="Z11" s="31"/>
      <c r="AA11" s="31"/>
      <c r="AB11" s="31"/>
      <c r="AC11" s="31"/>
      <c r="AD11" s="31"/>
      <c r="AE11" s="31"/>
      <c r="AF11" s="31"/>
      <c r="AG11" s="31"/>
    </row>
    <row r="12" spans="2:33" x14ac:dyDescent="0.25">
      <c r="B12" s="6">
        <f t="shared" si="0"/>
        <v>256</v>
      </c>
      <c r="C12" s="10">
        <v>1</v>
      </c>
      <c r="D12" s="5">
        <v>41898</v>
      </c>
      <c r="E12" s="6" t="s">
        <v>333</v>
      </c>
      <c r="F12" s="33">
        <v>120</v>
      </c>
      <c r="G12" s="6">
        <f>COUNT(F8:F12)</f>
        <v>5</v>
      </c>
      <c r="H12" s="6">
        <f>SUM(F8:F12)</f>
        <v>11580</v>
      </c>
      <c r="I12" s="6">
        <f>(518400-H12)/G12</f>
        <v>101364</v>
      </c>
      <c r="J12" s="6">
        <f>INT(I12/60/24)</f>
        <v>70</v>
      </c>
      <c r="K12" s="6">
        <f>H12/G12</f>
        <v>2316</v>
      </c>
      <c r="L12" s="33">
        <f t="shared" si="2"/>
        <v>-3148.4210526315787</v>
      </c>
      <c r="M12" s="33">
        <f t="shared" si="3"/>
        <v>722.29732632300022</v>
      </c>
      <c r="N12" s="6">
        <f>G12/365</f>
        <v>1.3698630136986301E-2</v>
      </c>
      <c r="O12" s="6">
        <f>N12*EXP(-N12*365)</f>
        <v>9.2300643823088586E-5</v>
      </c>
      <c r="P12" s="6">
        <f>1-EXP(-N12*365)</f>
        <v>0.99326205300091452</v>
      </c>
      <c r="Q12" s="6">
        <f>EXP(-N12*365)</f>
        <v>6.737946999085467E-3</v>
      </c>
      <c r="S12" s="6">
        <f>DAYS360($B$5,T12)</f>
        <v>187</v>
      </c>
      <c r="T12" s="5">
        <v>41827</v>
      </c>
      <c r="U12" s="6" t="s">
        <v>377</v>
      </c>
      <c r="V12" s="6">
        <v>44640</v>
      </c>
      <c r="W12" s="6">
        <f>COUNT(V12:V12)</f>
        <v>1</v>
      </c>
      <c r="X12" s="6">
        <f>SUM(V12:V12)</f>
        <v>44640</v>
      </c>
      <c r="Y12" s="6">
        <f>(518400-X12)/W12</f>
        <v>473760</v>
      </c>
      <c r="Z12" s="6">
        <f>INT(Y12/60/24)</f>
        <v>329</v>
      </c>
      <c r="AA12" s="6">
        <f>X12/W12</f>
        <v>44640</v>
      </c>
      <c r="AB12" s="6">
        <f>X12-V13</f>
        <v>0</v>
      </c>
      <c r="AC12" s="6">
        <f>SQRT((AB12*AB12)/COUNT(S12:S12))</f>
        <v>0</v>
      </c>
      <c r="AD12" s="6">
        <f>W12/365</f>
        <v>2.7397260273972603E-3</v>
      </c>
      <c r="AE12" s="6">
        <f>AD12*EXP(-AD12*365)</f>
        <v>1.0078888799217598E-3</v>
      </c>
      <c r="AF12" s="6">
        <f>1-EXP(-AD12*365)</f>
        <v>0.63212055882855767</v>
      </c>
      <c r="AG12" s="6">
        <f>EXP(-AD12*365)</f>
        <v>0.36787944117144233</v>
      </c>
    </row>
    <row r="13" spans="2:33" x14ac:dyDescent="0.25">
      <c r="B13" s="6">
        <f t="shared" si="0"/>
        <v>42</v>
      </c>
      <c r="C13" s="10">
        <v>1</v>
      </c>
      <c r="D13" s="5">
        <v>41682</v>
      </c>
      <c r="E13" s="6" t="s">
        <v>342</v>
      </c>
      <c r="F13" s="6">
        <v>180</v>
      </c>
      <c r="G13" s="31"/>
      <c r="H13" s="31"/>
      <c r="I13" s="31"/>
      <c r="J13" s="31"/>
      <c r="K13" s="31"/>
      <c r="L13" s="33">
        <f t="shared" si="2"/>
        <v>-3088.4210526315787</v>
      </c>
      <c r="M13" s="33">
        <f t="shared" si="3"/>
        <v>708.53238229076646</v>
      </c>
      <c r="N13" s="31"/>
      <c r="O13" s="31"/>
      <c r="P13" s="31"/>
      <c r="Q13" s="31"/>
      <c r="S13" s="31"/>
      <c r="T13" s="31"/>
      <c r="U13" s="44" t="s">
        <v>235</v>
      </c>
      <c r="V13" s="6">
        <f>AVERAGE(V12)</f>
        <v>44640</v>
      </c>
      <c r="W13" s="31"/>
      <c r="X13" s="31"/>
      <c r="Y13" s="31"/>
      <c r="Z13" s="31"/>
      <c r="AA13" s="31"/>
      <c r="AB13" s="31"/>
      <c r="AC13" s="31"/>
      <c r="AD13" s="31"/>
      <c r="AE13" s="31"/>
      <c r="AF13" s="31"/>
      <c r="AG13" s="31"/>
    </row>
    <row r="14" spans="2:33" x14ac:dyDescent="0.25">
      <c r="B14" s="6">
        <f t="shared" si="0"/>
        <v>43</v>
      </c>
      <c r="C14" s="10">
        <v>1</v>
      </c>
      <c r="D14" s="5">
        <v>41683</v>
      </c>
      <c r="E14" s="6" t="s">
        <v>342</v>
      </c>
      <c r="F14" s="6">
        <v>60</v>
      </c>
      <c r="G14" s="31"/>
      <c r="H14" s="31"/>
      <c r="I14" s="31"/>
      <c r="J14" s="31"/>
      <c r="K14" s="31"/>
      <c r="L14" s="33">
        <f t="shared" si="2"/>
        <v>-3208.4210526315787</v>
      </c>
      <c r="M14" s="33">
        <f t="shared" si="3"/>
        <v>736.06227035523386</v>
      </c>
      <c r="N14" s="31"/>
      <c r="O14" s="31"/>
      <c r="P14" s="31"/>
      <c r="Q14" s="31"/>
      <c r="S14" s="6">
        <f>DAYS360($B$5,T14)</f>
        <v>92</v>
      </c>
      <c r="T14" s="5">
        <v>41731</v>
      </c>
      <c r="U14" s="6" t="s">
        <v>341</v>
      </c>
      <c r="V14" s="33">
        <f>7*24*60</f>
        <v>10080</v>
      </c>
      <c r="W14" s="6">
        <f>COUNT(V14:V14)</f>
        <v>1</v>
      </c>
      <c r="X14" s="6">
        <f>SUM(V14:V14)</f>
        <v>10080</v>
      </c>
      <c r="Y14" s="6">
        <f>(518400-X14)/W14</f>
        <v>508320</v>
      </c>
      <c r="Z14" s="6">
        <f>INT(Y14/60/24)</f>
        <v>353</v>
      </c>
      <c r="AA14" s="6">
        <f>X14/W14</f>
        <v>10080</v>
      </c>
      <c r="AB14" s="6">
        <f>X14-V15</f>
        <v>0</v>
      </c>
      <c r="AC14" s="6">
        <f>SQRT((AB14*AB14)/COUNT(S14:S14))</f>
        <v>0</v>
      </c>
      <c r="AD14" s="6">
        <f>W14/365</f>
        <v>2.7397260273972603E-3</v>
      </c>
      <c r="AE14" s="6">
        <f>AD14*EXP(-AD14*365)</f>
        <v>1.0078888799217598E-3</v>
      </c>
      <c r="AF14" s="6">
        <f>1-EXP(-AD14*365)</f>
        <v>0.63212055882855767</v>
      </c>
      <c r="AG14" s="6">
        <f>EXP(-AD14*365)</f>
        <v>0.36787944117144233</v>
      </c>
    </row>
    <row r="15" spans="2:33" x14ac:dyDescent="0.25">
      <c r="B15" s="6">
        <f t="shared" si="0"/>
        <v>74</v>
      </c>
      <c r="C15" s="10">
        <v>1</v>
      </c>
      <c r="D15" s="5">
        <v>41712</v>
      </c>
      <c r="E15" s="6" t="s">
        <v>342</v>
      </c>
      <c r="F15" s="6">
        <v>30</v>
      </c>
      <c r="G15" s="31"/>
      <c r="H15" s="31"/>
      <c r="I15" s="31"/>
      <c r="J15" s="31"/>
      <c r="K15" s="31"/>
      <c r="L15" s="33">
        <f t="shared" si="2"/>
        <v>-3238.4210526315787</v>
      </c>
      <c r="M15" s="33">
        <f t="shared" si="3"/>
        <v>742.9447423713508</v>
      </c>
      <c r="N15" s="31"/>
      <c r="O15" s="31"/>
      <c r="P15" s="31"/>
      <c r="Q15" s="31"/>
      <c r="S15" s="31"/>
      <c r="T15" s="31"/>
      <c r="U15" s="44" t="s">
        <v>235</v>
      </c>
      <c r="V15" s="6">
        <f>AVERAGE(V14)</f>
        <v>10080</v>
      </c>
      <c r="W15" s="31"/>
      <c r="X15" s="31"/>
      <c r="Y15" s="31"/>
      <c r="Z15" s="31"/>
      <c r="AA15" s="31"/>
      <c r="AB15" s="31"/>
      <c r="AC15" s="31"/>
      <c r="AD15" s="31"/>
      <c r="AE15" s="31"/>
      <c r="AF15" s="31"/>
      <c r="AG15" s="31"/>
    </row>
    <row r="16" spans="2:33" x14ac:dyDescent="0.25">
      <c r="B16" s="6">
        <f t="shared" si="0"/>
        <v>139</v>
      </c>
      <c r="C16" s="10">
        <v>1</v>
      </c>
      <c r="D16" s="5">
        <v>41778</v>
      </c>
      <c r="E16" s="6" t="s">
        <v>342</v>
      </c>
      <c r="F16" s="6">
        <v>480</v>
      </c>
      <c r="G16" s="31"/>
      <c r="H16" s="31"/>
      <c r="I16" s="31"/>
      <c r="J16" s="31"/>
      <c r="K16" s="31"/>
      <c r="L16" s="33">
        <f t="shared" si="2"/>
        <v>-2788.4210526315787</v>
      </c>
      <c r="M16" s="33">
        <f t="shared" si="3"/>
        <v>639.70766212959802</v>
      </c>
      <c r="N16" s="31"/>
      <c r="O16" s="31"/>
      <c r="P16" s="31"/>
      <c r="Q16" s="31"/>
      <c r="S16" s="6">
        <f>DAYS360($B$5,T16)</f>
        <v>20</v>
      </c>
      <c r="T16" s="5">
        <v>41659</v>
      </c>
      <c r="U16" s="6" t="s">
        <v>338</v>
      </c>
      <c r="V16" s="33">
        <f>8*60</f>
        <v>480</v>
      </c>
      <c r="W16" s="31"/>
      <c r="X16" s="31"/>
      <c r="Y16" s="31"/>
      <c r="Z16" s="31"/>
      <c r="AA16" s="31"/>
      <c r="AB16" s="31"/>
      <c r="AC16" s="31"/>
      <c r="AD16" s="31"/>
      <c r="AE16" s="31"/>
      <c r="AF16" s="31"/>
      <c r="AG16" s="31"/>
    </row>
    <row r="17" spans="2:33" x14ac:dyDescent="0.25">
      <c r="B17" s="6">
        <f t="shared" si="0"/>
        <v>142</v>
      </c>
      <c r="C17" s="10">
        <v>1</v>
      </c>
      <c r="D17" s="5">
        <v>41781</v>
      </c>
      <c r="E17" s="6" t="s">
        <v>342</v>
      </c>
      <c r="F17" s="6">
        <v>30</v>
      </c>
      <c r="G17" s="31"/>
      <c r="H17" s="31"/>
      <c r="I17" s="31"/>
      <c r="J17" s="31"/>
      <c r="K17" s="31"/>
      <c r="L17" s="33">
        <f t="shared" si="2"/>
        <v>-3238.4210526315787</v>
      </c>
      <c r="M17" s="33">
        <f t="shared" si="3"/>
        <v>742.9447423713508</v>
      </c>
      <c r="N17" s="31"/>
      <c r="O17" s="31"/>
      <c r="P17" s="31"/>
      <c r="Q17" s="31"/>
      <c r="S17" s="6">
        <f>DAYS360($B$5,T17)</f>
        <v>139</v>
      </c>
      <c r="T17" s="5">
        <v>41778</v>
      </c>
      <c r="U17" s="6" t="s">
        <v>338</v>
      </c>
      <c r="V17" s="33">
        <v>180</v>
      </c>
      <c r="W17" s="31"/>
      <c r="X17" s="31"/>
      <c r="Y17" s="31"/>
      <c r="Z17" s="31"/>
      <c r="AA17" s="31"/>
      <c r="AB17" s="31"/>
      <c r="AC17" s="31"/>
      <c r="AD17" s="31"/>
      <c r="AE17" s="31"/>
      <c r="AF17" s="31"/>
      <c r="AG17" s="31"/>
    </row>
    <row r="18" spans="2:33" x14ac:dyDescent="0.25">
      <c r="B18" s="6">
        <f t="shared" si="0"/>
        <v>152</v>
      </c>
      <c r="C18" s="10">
        <v>1</v>
      </c>
      <c r="D18" s="5">
        <v>41792</v>
      </c>
      <c r="E18" s="6" t="s">
        <v>342</v>
      </c>
      <c r="F18" s="6">
        <v>30</v>
      </c>
      <c r="G18" s="31"/>
      <c r="H18" s="31"/>
      <c r="I18" s="31"/>
      <c r="J18" s="31"/>
      <c r="K18" s="31"/>
      <c r="L18" s="33">
        <f t="shared" si="2"/>
        <v>-3238.4210526315787</v>
      </c>
      <c r="M18" s="33">
        <f t="shared" si="3"/>
        <v>742.9447423713508</v>
      </c>
      <c r="N18" s="31"/>
      <c r="O18" s="31"/>
      <c r="P18" s="31"/>
      <c r="Q18" s="31"/>
      <c r="S18" s="6">
        <f>DAYS360($B$5,T18)</f>
        <v>256</v>
      </c>
      <c r="T18" s="5">
        <v>41898</v>
      </c>
      <c r="U18" s="6" t="s">
        <v>338</v>
      </c>
      <c r="V18" s="33">
        <v>120</v>
      </c>
      <c r="W18" s="6">
        <f>COUNT(V16:V18)</f>
        <v>3</v>
      </c>
      <c r="X18" s="6">
        <f>SUM(V16:V18)</f>
        <v>780</v>
      </c>
      <c r="Y18" s="6">
        <f>(518400-X18)/W18</f>
        <v>172540</v>
      </c>
      <c r="Z18" s="6">
        <f>INT(Y18/60/24)</f>
        <v>119</v>
      </c>
      <c r="AA18" s="6">
        <f>X18/W18</f>
        <v>260</v>
      </c>
      <c r="AB18" s="6">
        <f>X18-V19</f>
        <v>520</v>
      </c>
      <c r="AC18" s="6">
        <f>SQRT((AB18*AB18)/COUNT(S16:S18))</f>
        <v>300.22213997860541</v>
      </c>
      <c r="AD18" s="6">
        <f>W18/365</f>
        <v>8.21917808219178E-3</v>
      </c>
      <c r="AE18" s="6">
        <f>AD18*EXP(-AD18*365)</f>
        <v>4.0920878110573119E-4</v>
      </c>
      <c r="AF18" s="6">
        <f>1-EXP(-AD18*365)</f>
        <v>0.95021293163213605</v>
      </c>
      <c r="AG18" s="6">
        <f>EXP(-AD18*365)</f>
        <v>4.9787068367863965E-2</v>
      </c>
    </row>
    <row r="19" spans="2:33" x14ac:dyDescent="0.25">
      <c r="B19" s="6">
        <f t="shared" si="0"/>
        <v>290</v>
      </c>
      <c r="C19" s="10">
        <v>1</v>
      </c>
      <c r="D19" s="5">
        <v>41932</v>
      </c>
      <c r="E19" s="6" t="s">
        <v>342</v>
      </c>
      <c r="F19" s="6">
        <v>600</v>
      </c>
      <c r="G19" s="6">
        <f>COUNT(F13:F19)</f>
        <v>7</v>
      </c>
      <c r="H19" s="6">
        <f>SUM(F13:F19)</f>
        <v>1410</v>
      </c>
      <c r="I19" s="6">
        <f>(518400-H19)/G19</f>
        <v>73855.71428571429</v>
      </c>
      <c r="J19" s="6">
        <f>INT(I19/60/24)</f>
        <v>51</v>
      </c>
      <c r="K19" s="6">
        <f>H19/G19</f>
        <v>201.42857142857142</v>
      </c>
      <c r="L19" s="33">
        <f t="shared" si="2"/>
        <v>-2668.4210526315787</v>
      </c>
      <c r="M19" s="33">
        <f t="shared" si="3"/>
        <v>612.17777406513051</v>
      </c>
      <c r="N19" s="6">
        <f>G19/365</f>
        <v>1.9178082191780823E-2</v>
      </c>
      <c r="O19" s="6">
        <f>N19*EXP(-N19*365)</f>
        <v>1.7488147284607161E-5</v>
      </c>
      <c r="P19" s="6">
        <f>1-EXP(-N19*365)</f>
        <v>0.99908811803444553</v>
      </c>
      <c r="Q19" s="6">
        <f>EXP(-N19*365)</f>
        <v>9.1188196555451624E-4</v>
      </c>
      <c r="S19" s="31"/>
      <c r="T19" s="31"/>
      <c r="U19" s="44" t="s">
        <v>235</v>
      </c>
      <c r="V19" s="6">
        <f>AVERAGE(V16:V18)</f>
        <v>260</v>
      </c>
      <c r="W19" s="31"/>
      <c r="X19" s="31"/>
      <c r="Y19" s="31"/>
      <c r="Z19" s="31"/>
      <c r="AA19" s="31"/>
      <c r="AB19" s="31"/>
      <c r="AC19" s="31"/>
      <c r="AD19" s="31"/>
      <c r="AE19" s="31"/>
      <c r="AF19" s="31"/>
      <c r="AG19" s="31"/>
    </row>
    <row r="20" spans="2:33" x14ac:dyDescent="0.25">
      <c r="B20" s="6">
        <f t="shared" si="0"/>
        <v>37</v>
      </c>
      <c r="C20" s="10">
        <v>1</v>
      </c>
      <c r="D20" s="5">
        <v>41677</v>
      </c>
      <c r="E20" s="6" t="s">
        <v>385</v>
      </c>
      <c r="F20" s="6">
        <v>180</v>
      </c>
      <c r="G20" s="6">
        <f>COUNT(F20:F20)</f>
        <v>1</v>
      </c>
      <c r="H20" s="6">
        <f>SUM(F20:F20)</f>
        <v>180</v>
      </c>
      <c r="I20" s="6">
        <f>(518400-H20)/G20</f>
        <v>518220</v>
      </c>
      <c r="J20" s="6">
        <f>INT(I20/60/24)</f>
        <v>359</v>
      </c>
      <c r="K20" s="6">
        <f>H20/G20</f>
        <v>180</v>
      </c>
      <c r="L20" s="33">
        <f t="shared" si="2"/>
        <v>-3088.4210526315787</v>
      </c>
      <c r="M20" s="33">
        <f t="shared" si="3"/>
        <v>708.53238229076646</v>
      </c>
      <c r="N20" s="6">
        <f>G20/365</f>
        <v>2.7397260273972603E-3</v>
      </c>
      <c r="O20" s="6">
        <f>N20*EXP(-N20*365)</f>
        <v>1.0078888799217598E-3</v>
      </c>
      <c r="P20" s="6">
        <f>1-EXP(-N20*365)</f>
        <v>0.63212055882855767</v>
      </c>
      <c r="Q20" s="6">
        <f>EXP(-N20*365)</f>
        <v>0.36787944117144233</v>
      </c>
      <c r="S20" s="6">
        <f>DAYS360($B$5,T20)</f>
        <v>97</v>
      </c>
      <c r="T20" s="5">
        <v>41736</v>
      </c>
      <c r="U20" s="6" t="s">
        <v>340</v>
      </c>
      <c r="V20" s="33">
        <f>12*60</f>
        <v>720</v>
      </c>
      <c r="W20" s="6">
        <f>COUNT(V20:V20)</f>
        <v>1</v>
      </c>
      <c r="X20" s="6">
        <f>SUM(V20:V20)</f>
        <v>720</v>
      </c>
      <c r="Y20" s="6">
        <f>(518400-X20)/W20</f>
        <v>517680</v>
      </c>
      <c r="Z20" s="6">
        <f>INT(Y20/60/24)</f>
        <v>359</v>
      </c>
      <c r="AA20" s="6">
        <f>X20/W20</f>
        <v>720</v>
      </c>
      <c r="AB20" s="6">
        <f>X20-V21</f>
        <v>0</v>
      </c>
      <c r="AC20" s="6">
        <f>SQRT((AB20*AB20)/COUNT(S20:S20))</f>
        <v>0</v>
      </c>
      <c r="AD20" s="6">
        <f>W20/365</f>
        <v>2.7397260273972603E-3</v>
      </c>
      <c r="AE20" s="6">
        <f>AD20*EXP(-AD20*365)</f>
        <v>1.0078888799217598E-3</v>
      </c>
      <c r="AF20" s="6">
        <f>1-EXP(-AD20*365)</f>
        <v>0.63212055882855767</v>
      </c>
      <c r="AG20" s="6">
        <f>EXP(-AD20*365)</f>
        <v>0.36787944117144233</v>
      </c>
    </row>
    <row r="21" spans="2:33" x14ac:dyDescent="0.25">
      <c r="B21" s="6">
        <f t="shared" si="0"/>
        <v>126</v>
      </c>
      <c r="C21" s="10">
        <v>1</v>
      </c>
      <c r="D21" s="5">
        <v>41765</v>
      </c>
      <c r="E21" s="6" t="s">
        <v>370</v>
      </c>
      <c r="F21" s="6">
        <v>360</v>
      </c>
      <c r="G21" s="31"/>
      <c r="H21" s="31"/>
      <c r="I21" s="31"/>
      <c r="J21" s="31"/>
      <c r="K21" s="31"/>
      <c r="L21" s="33">
        <f t="shared" si="2"/>
        <v>-2908.4210526315787</v>
      </c>
      <c r="M21" s="33">
        <f t="shared" si="3"/>
        <v>667.23755019406542</v>
      </c>
      <c r="N21" s="31"/>
      <c r="O21" s="31"/>
      <c r="P21" s="31"/>
      <c r="Q21" s="31"/>
      <c r="S21" s="31"/>
      <c r="T21" s="31"/>
      <c r="U21" s="46" t="s">
        <v>235</v>
      </c>
      <c r="V21" s="45">
        <f>AVERAGE(V20)</f>
        <v>720</v>
      </c>
      <c r="W21" s="31"/>
      <c r="X21" s="31"/>
      <c r="Y21" s="31"/>
      <c r="Z21" s="31"/>
      <c r="AA21" s="31"/>
      <c r="AB21" s="31"/>
      <c r="AC21" s="31"/>
      <c r="AD21" s="31"/>
      <c r="AE21" s="31"/>
      <c r="AF21" s="31"/>
      <c r="AG21" s="31"/>
    </row>
    <row r="22" spans="2:33" x14ac:dyDescent="0.25">
      <c r="B22" s="6">
        <f t="shared" si="0"/>
        <v>180</v>
      </c>
      <c r="C22" s="10">
        <v>1</v>
      </c>
      <c r="D22" s="5">
        <v>41820</v>
      </c>
      <c r="E22" s="6" t="s">
        <v>370</v>
      </c>
      <c r="F22" s="6">
        <v>690</v>
      </c>
      <c r="G22" s="31"/>
      <c r="H22" s="31"/>
      <c r="I22" s="31"/>
      <c r="J22" s="31"/>
      <c r="K22" s="31"/>
      <c r="L22" s="33">
        <f t="shared" si="2"/>
        <v>-2578.4210526315787</v>
      </c>
      <c r="M22" s="33">
        <f t="shared" si="3"/>
        <v>591.53035801678004</v>
      </c>
      <c r="N22" s="31"/>
      <c r="O22" s="31"/>
      <c r="P22" s="31"/>
      <c r="Q22" s="31"/>
      <c r="S22" s="6">
        <f>DAYS360($B$5,T22)</f>
        <v>152</v>
      </c>
      <c r="T22" s="5">
        <v>41792</v>
      </c>
      <c r="U22" s="6" t="s">
        <v>349</v>
      </c>
      <c r="V22" s="6">
        <v>30</v>
      </c>
      <c r="W22" s="6">
        <f>COUNT(V20:V22)</f>
        <v>3</v>
      </c>
      <c r="X22" s="6">
        <f>SUM(V20:V22)</f>
        <v>1470</v>
      </c>
      <c r="Y22" s="6">
        <f>(518400-X22)/W22</f>
        <v>172310</v>
      </c>
      <c r="Z22" s="6">
        <f>INT(Y22/60/24)</f>
        <v>119</v>
      </c>
      <c r="AA22" s="6">
        <f>X22/W22</f>
        <v>490</v>
      </c>
      <c r="AB22" s="6">
        <f>X22-V23</f>
        <v>980</v>
      </c>
      <c r="AC22" s="6">
        <f>SQRT((AB22*AB22)/COUNT(S22))</f>
        <v>980</v>
      </c>
      <c r="AD22" s="6">
        <f>W22/365</f>
        <v>8.21917808219178E-3</v>
      </c>
      <c r="AE22" s="6">
        <f>AD22*EXP(-AD22*365)</f>
        <v>4.0920878110573119E-4</v>
      </c>
      <c r="AF22" s="6">
        <f>1-EXP(-AD22*365)</f>
        <v>0.95021293163213605</v>
      </c>
      <c r="AG22" s="6">
        <f>EXP(-AD22*365)</f>
        <v>4.9787068367863965E-2</v>
      </c>
    </row>
    <row r="23" spans="2:33" x14ac:dyDescent="0.25">
      <c r="B23" s="6">
        <f t="shared" si="0"/>
        <v>187</v>
      </c>
      <c r="C23" s="10">
        <v>1</v>
      </c>
      <c r="D23" s="5">
        <v>41827</v>
      </c>
      <c r="E23" s="6" t="s">
        <v>370</v>
      </c>
      <c r="F23" s="6">
        <v>44640</v>
      </c>
      <c r="G23" s="31"/>
      <c r="H23" s="31"/>
      <c r="I23" s="31"/>
      <c r="J23" s="31"/>
      <c r="K23" s="31"/>
      <c r="L23" s="33">
        <f t="shared" si="2"/>
        <v>41371.57894736842</v>
      </c>
      <c r="M23" s="33">
        <f t="shared" si="3"/>
        <v>9491.2911455944104</v>
      </c>
      <c r="N23" s="31"/>
      <c r="O23" s="31"/>
      <c r="P23" s="31"/>
      <c r="Q23" s="31"/>
      <c r="S23" s="31"/>
      <c r="T23" s="31"/>
      <c r="U23" s="44" t="s">
        <v>235</v>
      </c>
      <c r="V23" s="6">
        <f>AVERAGE(V20:V22)</f>
        <v>490</v>
      </c>
      <c r="W23" s="31"/>
      <c r="X23" s="31"/>
      <c r="Y23" s="31"/>
      <c r="Z23" s="31"/>
      <c r="AA23" s="31"/>
      <c r="AB23" s="31"/>
      <c r="AC23" s="31"/>
      <c r="AD23" s="31"/>
      <c r="AE23" s="31"/>
      <c r="AF23" s="31"/>
      <c r="AG23" s="31"/>
    </row>
    <row r="24" spans="2:33" x14ac:dyDescent="0.25">
      <c r="B24" s="6">
        <f t="shared" si="0"/>
        <v>211</v>
      </c>
      <c r="C24" s="10">
        <v>1</v>
      </c>
      <c r="D24" s="5">
        <v>41852</v>
      </c>
      <c r="E24" s="6" t="s">
        <v>370</v>
      </c>
      <c r="F24" s="6">
        <v>240</v>
      </c>
      <c r="G24" s="6">
        <f>COUNT(F21:F24)</f>
        <v>4</v>
      </c>
      <c r="H24" s="6">
        <f>SUM(F21:F24)</f>
        <v>45930</v>
      </c>
      <c r="I24" s="6">
        <f>(518400-H24)/G24</f>
        <v>118117.5</v>
      </c>
      <c r="J24" s="6">
        <f>INT(I24/60/24)</f>
        <v>82</v>
      </c>
      <c r="K24" s="6">
        <f>H24/G24</f>
        <v>11482.5</v>
      </c>
      <c r="L24" s="33">
        <f t="shared" si="2"/>
        <v>-3028.4210526315787</v>
      </c>
      <c r="M24" s="33">
        <f t="shared" si="3"/>
        <v>694.76743825853282</v>
      </c>
      <c r="N24" s="6">
        <f>G24/365</f>
        <v>1.0958904109589041E-2</v>
      </c>
      <c r="O24" s="6">
        <f>N24*EXP(-N24*365)</f>
        <v>2.0071933028749785E-4</v>
      </c>
      <c r="P24" s="6">
        <f>1-EXP(-N24*365)</f>
        <v>0.98168436111126578</v>
      </c>
      <c r="Q24" s="6">
        <f>EXP(-N24*365)</f>
        <v>1.8315638888734179E-2</v>
      </c>
      <c r="S24" s="6">
        <f t="shared" ref="S24:S29" si="4">DAYS360($B$5,T24)</f>
        <v>42</v>
      </c>
      <c r="T24" s="5">
        <v>41682</v>
      </c>
      <c r="U24" s="6" t="s">
        <v>347</v>
      </c>
      <c r="V24" s="6">
        <v>180</v>
      </c>
      <c r="W24" s="31"/>
      <c r="X24" s="31"/>
      <c r="Y24" s="31"/>
      <c r="Z24" s="31"/>
      <c r="AA24" s="31"/>
      <c r="AB24" s="31"/>
      <c r="AC24" s="31"/>
      <c r="AD24" s="31"/>
      <c r="AE24" s="31"/>
      <c r="AF24" s="31"/>
      <c r="AG24" s="31"/>
    </row>
    <row r="25" spans="2:33" x14ac:dyDescent="0.25">
      <c r="E25" s="43" t="s">
        <v>235</v>
      </c>
      <c r="F25" s="6">
        <f>AVERAGE(F6:F24)</f>
        <v>3268.4210526315787</v>
      </c>
      <c r="S25" s="6">
        <f t="shared" si="4"/>
        <v>43</v>
      </c>
      <c r="T25" s="5">
        <v>41683</v>
      </c>
      <c r="U25" s="6" t="s">
        <v>347</v>
      </c>
      <c r="V25" s="6">
        <v>60</v>
      </c>
      <c r="W25" s="31"/>
      <c r="X25" s="31"/>
      <c r="Y25" s="31"/>
      <c r="Z25" s="31"/>
      <c r="AA25" s="31"/>
      <c r="AB25" s="31"/>
      <c r="AC25" s="31"/>
      <c r="AD25" s="31"/>
      <c r="AE25" s="31"/>
      <c r="AF25" s="31"/>
      <c r="AG25" s="31"/>
    </row>
    <row r="26" spans="2:33" x14ac:dyDescent="0.25">
      <c r="S26" s="6">
        <f t="shared" si="4"/>
        <v>74</v>
      </c>
      <c r="T26" s="5">
        <v>41712</v>
      </c>
      <c r="U26" s="6" t="s">
        <v>347</v>
      </c>
      <c r="V26" s="6">
        <v>30</v>
      </c>
      <c r="W26" s="31"/>
      <c r="X26" s="31"/>
      <c r="Y26" s="31"/>
      <c r="Z26" s="31"/>
      <c r="AA26" s="31"/>
      <c r="AB26" s="31"/>
      <c r="AC26" s="31"/>
      <c r="AD26" s="31"/>
      <c r="AE26" s="31"/>
      <c r="AF26" s="31"/>
      <c r="AG26" s="31"/>
    </row>
    <row r="27" spans="2:33" x14ac:dyDescent="0.25">
      <c r="B27" s="32" t="s">
        <v>193</v>
      </c>
      <c r="S27" s="6">
        <f t="shared" si="4"/>
        <v>139</v>
      </c>
      <c r="T27" s="5">
        <v>41778</v>
      </c>
      <c r="U27" s="6" t="s">
        <v>347</v>
      </c>
      <c r="V27" s="6">
        <v>480</v>
      </c>
      <c r="W27" s="31"/>
      <c r="X27" s="31"/>
      <c r="Y27" s="31"/>
      <c r="Z27" s="31"/>
      <c r="AA27" s="31"/>
      <c r="AB27" s="31"/>
      <c r="AC27" s="31"/>
      <c r="AD27" s="31"/>
      <c r="AE27" s="31"/>
      <c r="AF27" s="31"/>
      <c r="AG27" s="31"/>
    </row>
    <row r="28" spans="2:33" x14ac:dyDescent="0.25">
      <c r="B28" t="s">
        <v>255</v>
      </c>
      <c r="S28" s="6">
        <f t="shared" si="4"/>
        <v>142</v>
      </c>
      <c r="T28" s="5">
        <v>41781</v>
      </c>
      <c r="U28" s="6" t="s">
        <v>347</v>
      </c>
      <c r="V28" s="6">
        <v>30</v>
      </c>
      <c r="W28" s="31"/>
      <c r="X28" s="31"/>
      <c r="Y28" s="31"/>
      <c r="Z28" s="31"/>
      <c r="AA28" s="31"/>
      <c r="AB28" s="31"/>
      <c r="AC28" s="31"/>
      <c r="AD28" s="31"/>
      <c r="AE28" s="31"/>
      <c r="AF28" s="31"/>
      <c r="AG28" s="31"/>
    </row>
    <row r="29" spans="2:33" x14ac:dyDescent="0.25">
      <c r="S29" s="6">
        <f t="shared" si="4"/>
        <v>290</v>
      </c>
      <c r="T29" s="5">
        <v>41932</v>
      </c>
      <c r="U29" s="6" t="s">
        <v>347</v>
      </c>
      <c r="V29" s="6">
        <v>600</v>
      </c>
      <c r="W29" s="6">
        <f>COUNT(V24:V29)</f>
        <v>6</v>
      </c>
      <c r="X29" s="6">
        <f>SUM(V24:V29)</f>
        <v>1380</v>
      </c>
      <c r="Y29" s="6">
        <f>(518400-X29)/W29</f>
        <v>86170</v>
      </c>
      <c r="Z29" s="6">
        <f>INT(Y29/60/24)</f>
        <v>59</v>
      </c>
      <c r="AA29" s="6">
        <f>X29/W29</f>
        <v>230</v>
      </c>
      <c r="AB29" s="6">
        <f>X29-V30</f>
        <v>1150</v>
      </c>
      <c r="AC29" s="6">
        <f>SQRT((AB29*AB29)/COUNT(S24:S29))</f>
        <v>469.48553403344243</v>
      </c>
      <c r="AD29" s="6">
        <f>W29/365</f>
        <v>1.643835616438356E-2</v>
      </c>
      <c r="AE29" s="6">
        <f>AD29*EXP(-AD29*365)</f>
        <v>4.0746611123282634E-5</v>
      </c>
      <c r="AF29" s="6">
        <f>1-EXP(-AD29*365)</f>
        <v>0.99752124782333362</v>
      </c>
      <c r="AG29" s="6">
        <f>EXP(-AD29*365)</f>
        <v>2.4787521766663607E-3</v>
      </c>
    </row>
    <row r="30" spans="2:33" x14ac:dyDescent="0.25">
      <c r="B30" s="37" t="s">
        <v>209</v>
      </c>
      <c r="S30" s="31"/>
      <c r="T30" s="31"/>
      <c r="U30" s="44" t="s">
        <v>235</v>
      </c>
      <c r="V30" s="6">
        <f>AVERAGE(V24:V29)</f>
        <v>230</v>
      </c>
      <c r="W30" s="31"/>
      <c r="X30" s="31"/>
      <c r="Y30" s="31"/>
      <c r="Z30" s="31"/>
      <c r="AA30" s="31"/>
      <c r="AB30" s="31"/>
      <c r="AC30" s="31"/>
      <c r="AD30" s="31"/>
      <c r="AE30" s="31"/>
      <c r="AF30" s="31"/>
      <c r="AG30" s="31"/>
    </row>
    <row r="31" spans="2:33" x14ac:dyDescent="0.25">
      <c r="B31" s="37" t="s">
        <v>210</v>
      </c>
      <c r="S31" s="6">
        <f>DAYS360($B$5,T31)</f>
        <v>109</v>
      </c>
      <c r="T31" s="5">
        <v>41748</v>
      </c>
      <c r="U31" s="6" t="s">
        <v>402</v>
      </c>
      <c r="V31" s="6">
        <v>2880</v>
      </c>
      <c r="W31" s="31"/>
      <c r="X31" s="31"/>
      <c r="Y31" s="31"/>
      <c r="Z31" s="31"/>
      <c r="AA31" s="31"/>
      <c r="AB31" s="31"/>
      <c r="AC31" s="31"/>
      <c r="AD31" s="31"/>
      <c r="AE31" s="31"/>
      <c r="AF31" s="31"/>
      <c r="AG31" s="31"/>
    </row>
    <row r="32" spans="2:33" x14ac:dyDescent="0.25">
      <c r="B32" s="40" t="s">
        <v>222</v>
      </c>
      <c r="S32" s="6">
        <f>DAYS360($B$5,T32)</f>
        <v>334</v>
      </c>
      <c r="T32" s="5">
        <v>41977</v>
      </c>
      <c r="U32" s="6" t="s">
        <v>402</v>
      </c>
      <c r="V32" s="6">
        <v>120</v>
      </c>
      <c r="W32" s="6">
        <f>COUNT(V31:V32)</f>
        <v>2</v>
      </c>
      <c r="X32" s="6">
        <f>SUM(V31:V32)</f>
        <v>3000</v>
      </c>
      <c r="Y32" s="6">
        <f>(518400-X32)/W32</f>
        <v>257700</v>
      </c>
      <c r="Z32" s="6">
        <f>INT(Y32/60/24)</f>
        <v>178</v>
      </c>
      <c r="AA32" s="6">
        <f>X32/W32</f>
        <v>1500</v>
      </c>
      <c r="AB32" s="6">
        <f>X32-V33</f>
        <v>1500</v>
      </c>
      <c r="AC32" s="6">
        <f>SQRT((AB32*AB32)/COUNT(S31:S32))</f>
        <v>1060.6601717798212</v>
      </c>
      <c r="AD32" s="6">
        <f>W32/365</f>
        <v>5.4794520547945206E-3</v>
      </c>
      <c r="AE32" s="6">
        <f>AD32*EXP(-AD32*365)</f>
        <v>7.4156319581705592E-4</v>
      </c>
      <c r="AF32" s="6">
        <f>1-EXP(-AD32*365)</f>
        <v>0.8646647167633873</v>
      </c>
      <c r="AG32" s="6">
        <f>EXP(-AD32*365)</f>
        <v>0.1353352832366127</v>
      </c>
    </row>
    <row r="33" spans="2:33" x14ac:dyDescent="0.25">
      <c r="B33" s="40" t="s">
        <v>232</v>
      </c>
      <c r="S33" s="31"/>
      <c r="T33" s="31"/>
      <c r="U33" s="44" t="s">
        <v>235</v>
      </c>
      <c r="V33" s="6">
        <f>AVERAGE(V31:V32)</f>
        <v>1500</v>
      </c>
      <c r="W33" s="31"/>
      <c r="X33" s="31"/>
      <c r="Y33" s="31"/>
      <c r="Z33" s="31"/>
      <c r="AA33" s="31"/>
      <c r="AB33" s="31"/>
      <c r="AC33" s="31"/>
      <c r="AD33" s="31"/>
      <c r="AE33" s="31"/>
      <c r="AF33" s="31"/>
      <c r="AG33" s="31"/>
    </row>
    <row r="34" spans="2:33" x14ac:dyDescent="0.25">
      <c r="B34" s="40"/>
      <c r="S34" s="6">
        <f>DAYS360($B$5,T34)</f>
        <v>37</v>
      </c>
      <c r="T34" s="5">
        <v>41677</v>
      </c>
      <c r="U34" s="6" t="s">
        <v>390</v>
      </c>
      <c r="V34" s="6">
        <v>180</v>
      </c>
      <c r="W34" s="6">
        <f>COUNT(V34:V34)</f>
        <v>1</v>
      </c>
      <c r="X34" s="6">
        <f>SUM(V34:V34)</f>
        <v>180</v>
      </c>
      <c r="Y34" s="6">
        <f>(518400-X34)/W34</f>
        <v>518220</v>
      </c>
      <c r="Z34" s="6">
        <f>INT(Y34/60/24)</f>
        <v>359</v>
      </c>
      <c r="AA34" s="6">
        <f>X34/W34</f>
        <v>180</v>
      </c>
      <c r="AB34" s="6">
        <f>X34-V35</f>
        <v>0</v>
      </c>
      <c r="AC34" s="6">
        <f>SQRT((AB34*AB34)/COUNT(S34:S34))</f>
        <v>0</v>
      </c>
      <c r="AD34" s="6">
        <f>W34/365</f>
        <v>2.7397260273972603E-3</v>
      </c>
      <c r="AE34" s="6">
        <f>AD34*EXP(-AD34*365)</f>
        <v>1.0078888799217598E-3</v>
      </c>
      <c r="AF34" s="6">
        <f>1-EXP(-AD34*365)</f>
        <v>0.63212055882855767</v>
      </c>
      <c r="AG34" s="6">
        <f>EXP(-AD34*365)</f>
        <v>0.36787944117144233</v>
      </c>
    </row>
    <row r="35" spans="2:33" x14ac:dyDescent="0.25">
      <c r="B35" t="s">
        <v>234</v>
      </c>
      <c r="S35" s="31"/>
      <c r="T35" s="31"/>
      <c r="U35" s="44" t="s">
        <v>235</v>
      </c>
      <c r="V35" s="6">
        <f>AVERAGE(V34)</f>
        <v>180</v>
      </c>
      <c r="W35" s="31"/>
      <c r="X35" s="31"/>
      <c r="Y35" s="31"/>
      <c r="Z35" s="31"/>
      <c r="AA35" s="31"/>
      <c r="AB35" s="31"/>
      <c r="AC35" s="31"/>
      <c r="AD35" s="31"/>
      <c r="AE35" s="31"/>
      <c r="AF35" s="31"/>
      <c r="AG35" s="31"/>
    </row>
    <row r="37" spans="2:33" x14ac:dyDescent="0.25">
      <c r="B37" t="s">
        <v>225</v>
      </c>
    </row>
    <row r="38" spans="2:33" x14ac:dyDescent="0.25">
      <c r="C38" t="s">
        <v>226</v>
      </c>
    </row>
    <row r="39" spans="2:33" x14ac:dyDescent="0.25">
      <c r="C39" t="s">
        <v>227</v>
      </c>
    </row>
    <row r="40" spans="2:33" x14ac:dyDescent="0.25">
      <c r="C40" t="s">
        <v>228</v>
      </c>
    </row>
    <row r="42" spans="2:33" x14ac:dyDescent="0.25">
      <c r="B42" t="s">
        <v>229</v>
      </c>
    </row>
  </sheetData>
  <sheetProtection sheet="1" objects="1" scenarios="1"/>
  <sortState ref="S6:Z24">
    <sortCondition ref="U6:U24"/>
  </sortState>
  <mergeCells count="2">
    <mergeCell ref="S2:AG3"/>
    <mergeCell ref="B2:Q3"/>
  </mergeCells>
  <pageMargins left="0.7" right="0.7" top="0.75" bottom="0.75" header="0.3" footer="0.3"/>
  <pageSetup paperSize="9" orientation="portrait" horizontalDpi="300"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sheetPr>
  <dimension ref="A1:L68"/>
  <sheetViews>
    <sheetView zoomScale="85" zoomScaleNormal="85" workbookViewId="0">
      <selection activeCell="H21" sqref="H21"/>
    </sheetView>
  </sheetViews>
  <sheetFormatPr defaultRowHeight="15" x14ac:dyDescent="0.25"/>
  <cols>
    <col min="1" max="1" width="10.42578125" style="16" bestFit="1" customWidth="1"/>
    <col min="2" max="2" width="24.28515625" style="16" bestFit="1" customWidth="1"/>
    <col min="3" max="3" width="28.7109375" style="16" bestFit="1" customWidth="1"/>
    <col min="4" max="4" width="32.5703125" style="16" bestFit="1" customWidth="1"/>
    <col min="5" max="5" width="11.7109375" style="16" bestFit="1" customWidth="1"/>
    <col min="6" max="6" width="11.28515625" style="16" bestFit="1" customWidth="1"/>
    <col min="7" max="7" width="20.85546875" style="16" bestFit="1" customWidth="1"/>
    <col min="8" max="8" width="17.85546875" style="16" bestFit="1" customWidth="1"/>
    <col min="9" max="10" width="17.5703125" style="16" bestFit="1" customWidth="1"/>
    <col min="11" max="11" width="9.140625" style="16" customWidth="1"/>
    <col min="12" max="12" width="11.28515625" style="16" customWidth="1"/>
    <col min="13" max="13" width="11.5703125" style="16" customWidth="1"/>
    <col min="14" max="14" width="10.28515625" style="16" customWidth="1"/>
    <col min="15" max="37" width="9.140625" style="16" customWidth="1"/>
    <col min="38" max="16384" width="9.140625" style="16"/>
  </cols>
  <sheetData>
    <row r="1" spans="1:10" ht="15" customHeight="1" x14ac:dyDescent="0.25"/>
    <row r="2" spans="1:10" ht="15" customHeight="1" x14ac:dyDescent="0.25"/>
    <row r="3" spans="1:10" ht="15" customHeight="1" x14ac:dyDescent="0.25">
      <c r="A3" s="17" t="s">
        <v>165</v>
      </c>
      <c r="B3" s="17" t="s">
        <v>212</v>
      </c>
      <c r="C3" s="17" t="s">
        <v>249</v>
      </c>
      <c r="D3" s="17" t="s">
        <v>249</v>
      </c>
      <c r="E3" s="17" t="s">
        <v>208</v>
      </c>
      <c r="F3" s="17" t="s">
        <v>5</v>
      </c>
      <c r="G3" s="17" t="s">
        <v>2</v>
      </c>
      <c r="H3" s="17" t="s">
        <v>0</v>
      </c>
      <c r="I3" s="17" t="s">
        <v>213</v>
      </c>
      <c r="J3" s="17" t="s">
        <v>213</v>
      </c>
    </row>
    <row r="4" spans="1:10" ht="15" customHeight="1" x14ac:dyDescent="0.25">
      <c r="A4" s="17"/>
      <c r="B4" s="17" t="s">
        <v>215</v>
      </c>
      <c r="C4" s="17" t="s">
        <v>250</v>
      </c>
      <c r="D4" s="17" t="s">
        <v>252</v>
      </c>
      <c r="E4" s="17"/>
      <c r="F4" s="17"/>
      <c r="G4" s="17"/>
      <c r="H4" s="17"/>
      <c r="I4" s="17" t="s">
        <v>216</v>
      </c>
      <c r="J4" s="17" t="s">
        <v>216</v>
      </c>
    </row>
    <row r="5" spans="1:10" ht="15" customHeight="1" x14ac:dyDescent="0.25">
      <c r="A5" s="18">
        <v>41639</v>
      </c>
      <c r="B5" s="18" t="s">
        <v>214</v>
      </c>
      <c r="C5" s="18" t="s">
        <v>253</v>
      </c>
      <c r="D5" s="18" t="s">
        <v>254</v>
      </c>
      <c r="E5" s="18" t="s">
        <v>251</v>
      </c>
      <c r="I5" s="16" t="s">
        <v>214</v>
      </c>
      <c r="J5" s="16" t="s">
        <v>187</v>
      </c>
    </row>
    <row r="6" spans="1:10" ht="15" customHeight="1" x14ac:dyDescent="0.25">
      <c r="A6" s="18"/>
      <c r="B6" s="18"/>
      <c r="C6" s="18"/>
      <c r="D6" s="18"/>
      <c r="E6" s="18"/>
    </row>
    <row r="7" spans="1:10" s="28" customFormat="1" ht="15" customHeight="1" x14ac:dyDescent="0.25">
      <c r="A7" s="29">
        <f>DAYS360($A$5,F7)</f>
        <v>109</v>
      </c>
      <c r="B7" s="29">
        <f>A7*24</f>
        <v>2616</v>
      </c>
      <c r="C7" s="26">
        <f>1-EXP(-$E$7*A7)</f>
        <v>0.44968270878296346</v>
      </c>
      <c r="D7" s="26">
        <f>EXP(-$E$7*A7)</f>
        <v>0.55031729121703654</v>
      </c>
      <c r="E7" s="26">
        <f>'2014 - MTBF, MTTF, Exponencial'!AD32</f>
        <v>5.4794520547945206E-3</v>
      </c>
      <c r="F7" s="27">
        <v>41748</v>
      </c>
      <c r="G7" s="28" t="s">
        <v>406</v>
      </c>
      <c r="H7" s="28" t="s">
        <v>6</v>
      </c>
      <c r="I7" s="16">
        <f>J7/60</f>
        <v>48</v>
      </c>
      <c r="J7" s="16">
        <f>2*24*60</f>
        <v>2880</v>
      </c>
    </row>
    <row r="8" spans="1:10" s="28" customFormat="1" ht="15" customHeight="1" x14ac:dyDescent="0.25">
      <c r="A8" s="29">
        <f>DAYS360($A$5,F8)-A7</f>
        <v>225</v>
      </c>
      <c r="B8" s="29">
        <f t="shared" ref="B8:B36" si="0">A8*24</f>
        <v>5400</v>
      </c>
      <c r="C8" s="26">
        <f>1-EXP(-$E$7*A8)</f>
        <v>0.70854705571006837</v>
      </c>
      <c r="D8" s="26">
        <f>EXP(-$E$7*A8)</f>
        <v>0.29145294428993168</v>
      </c>
      <c r="E8" s="54"/>
      <c r="F8" s="27">
        <v>41977</v>
      </c>
      <c r="G8" s="28" t="s">
        <v>406</v>
      </c>
      <c r="H8" s="28" t="s">
        <v>6</v>
      </c>
      <c r="I8" s="16">
        <f t="shared" ref="I8:I35" si="1">J8/60</f>
        <v>2</v>
      </c>
      <c r="J8" s="16">
        <v>120</v>
      </c>
    </row>
    <row r="9" spans="1:10" s="28" customFormat="1" ht="15" customHeight="1" x14ac:dyDescent="0.25">
      <c r="A9" s="47">
        <f>360-SUM(A7:A8)</f>
        <v>26</v>
      </c>
      <c r="B9" s="47">
        <f t="shared" si="0"/>
        <v>624</v>
      </c>
      <c r="C9" s="26"/>
      <c r="D9" s="26"/>
      <c r="E9" s="26"/>
      <c r="F9" s="27"/>
      <c r="I9" s="16"/>
      <c r="J9" s="16"/>
    </row>
    <row r="10" spans="1:10" s="28" customFormat="1" ht="15" customHeight="1" x14ac:dyDescent="0.25">
      <c r="A10" s="29">
        <f t="shared" ref="A10:A35" si="2">DAYS360($A$5,F10)</f>
        <v>92</v>
      </c>
      <c r="B10" s="29">
        <f t="shared" si="0"/>
        <v>2208</v>
      </c>
      <c r="C10" s="26">
        <f>1-EXP(-$E$10*A10)</f>
        <v>0.22279784951703097</v>
      </c>
      <c r="D10" s="26">
        <f>EXP(-$E$10*A10)</f>
        <v>0.77720215048296903</v>
      </c>
      <c r="E10" s="56">
        <f>'2014 - MTBF, MTTF, Exponencial'!AD14</f>
        <v>2.7397260273972603E-3</v>
      </c>
      <c r="F10" s="27">
        <v>41731</v>
      </c>
      <c r="G10" s="28" t="s">
        <v>333</v>
      </c>
      <c r="H10" s="28" t="s">
        <v>369</v>
      </c>
      <c r="I10" s="16">
        <f t="shared" si="1"/>
        <v>168</v>
      </c>
      <c r="J10" s="16">
        <f>7*24*60</f>
        <v>10080</v>
      </c>
    </row>
    <row r="11" spans="1:10" s="28" customFormat="1" ht="15" customHeight="1" x14ac:dyDescent="0.25">
      <c r="A11" s="47">
        <f>360-A10</f>
        <v>268</v>
      </c>
      <c r="B11" s="47">
        <f t="shared" si="0"/>
        <v>6432</v>
      </c>
      <c r="C11" s="26"/>
      <c r="D11" s="26"/>
      <c r="E11" s="56"/>
      <c r="F11" s="27"/>
      <c r="I11" s="16"/>
      <c r="J11" s="16"/>
    </row>
    <row r="12" spans="1:10" s="28" customFormat="1" ht="15" customHeight="1" x14ac:dyDescent="0.25">
      <c r="A12" s="29">
        <f t="shared" si="2"/>
        <v>20</v>
      </c>
      <c r="B12" s="29">
        <f t="shared" si="0"/>
        <v>480</v>
      </c>
      <c r="C12" s="26">
        <f>1-EXP(-$E$12*A12)</f>
        <v>0.15158346057961392</v>
      </c>
      <c r="D12" s="26">
        <f>EXP(-$E$12*A12)</f>
        <v>0.84841653942038608</v>
      </c>
      <c r="E12" s="56">
        <f>'2014 - MTBF, MTTF, Exponencial'!AD18</f>
        <v>8.21917808219178E-3</v>
      </c>
      <c r="F12" s="27">
        <v>41659</v>
      </c>
      <c r="G12" s="28" t="s">
        <v>333</v>
      </c>
      <c r="H12" s="28" t="s">
        <v>353</v>
      </c>
      <c r="I12" s="16">
        <f t="shared" si="1"/>
        <v>8</v>
      </c>
      <c r="J12" s="16">
        <f>8*60</f>
        <v>480</v>
      </c>
    </row>
    <row r="13" spans="1:10" s="28" customFormat="1" ht="15" customHeight="1" x14ac:dyDescent="0.25">
      <c r="A13" s="29">
        <f>DAYS360($A$5,F13)-A12</f>
        <v>119</v>
      </c>
      <c r="B13" s="29">
        <f t="shared" si="0"/>
        <v>2856</v>
      </c>
      <c r="C13" s="26"/>
      <c r="D13" s="26"/>
      <c r="E13" s="57"/>
      <c r="F13" s="27">
        <v>41778</v>
      </c>
      <c r="G13" s="28" t="s">
        <v>333</v>
      </c>
      <c r="H13" s="28" t="s">
        <v>353</v>
      </c>
      <c r="I13" s="16">
        <f t="shared" si="1"/>
        <v>3</v>
      </c>
      <c r="J13" s="16">
        <v>180</v>
      </c>
    </row>
    <row r="14" spans="1:10" s="28" customFormat="1" ht="15" customHeight="1" x14ac:dyDescent="0.25">
      <c r="A14" s="47">
        <f>360-SUM(A12:A13)</f>
        <v>221</v>
      </c>
      <c r="B14" s="47">
        <f t="shared" si="0"/>
        <v>5304</v>
      </c>
      <c r="C14" s="26"/>
      <c r="D14" s="26"/>
      <c r="E14" s="56"/>
      <c r="F14" s="27"/>
      <c r="I14" s="16"/>
      <c r="J14" s="16"/>
    </row>
    <row r="15" spans="1:10" s="28" customFormat="1" ht="15" customHeight="1" x14ac:dyDescent="0.25">
      <c r="A15" s="29">
        <f t="shared" si="2"/>
        <v>97</v>
      </c>
      <c r="B15" s="29">
        <f t="shared" si="0"/>
        <v>2328</v>
      </c>
      <c r="C15" s="26">
        <f>1-EXP(-$E$15*A15)</f>
        <v>0.23337186420720368</v>
      </c>
      <c r="D15" s="26">
        <f>EXP(-$E$15*A15)</f>
        <v>0.76662813579279632</v>
      </c>
      <c r="E15" s="56">
        <f>'2014 - MTBF, MTTF, Exponencial'!AD20</f>
        <v>2.7397260273972603E-3</v>
      </c>
      <c r="F15" s="27">
        <v>41736</v>
      </c>
      <c r="G15" s="28" t="s">
        <v>333</v>
      </c>
      <c r="H15" s="28" t="s">
        <v>6</v>
      </c>
      <c r="I15" s="16">
        <f t="shared" si="1"/>
        <v>12</v>
      </c>
      <c r="J15" s="16">
        <f>12*60</f>
        <v>720</v>
      </c>
    </row>
    <row r="16" spans="1:10" s="28" customFormat="1" ht="15" customHeight="1" x14ac:dyDescent="0.25">
      <c r="A16" s="29">
        <f>DAYS360($A$5,F16)-A15</f>
        <v>159</v>
      </c>
      <c r="B16" s="29">
        <f t="shared" si="0"/>
        <v>3816</v>
      </c>
      <c r="C16" s="26"/>
      <c r="D16" s="26"/>
      <c r="E16" s="57"/>
      <c r="F16" s="27">
        <v>41898</v>
      </c>
      <c r="G16" s="28" t="s">
        <v>333</v>
      </c>
      <c r="H16" s="28" t="s">
        <v>6</v>
      </c>
      <c r="I16" s="16">
        <f t="shared" si="1"/>
        <v>2</v>
      </c>
      <c r="J16" s="16">
        <v>120</v>
      </c>
    </row>
    <row r="17" spans="1:12" s="28" customFormat="1" ht="15" customHeight="1" x14ac:dyDescent="0.25">
      <c r="A17" s="47">
        <f>360-SUM(A15:A16)</f>
        <v>104</v>
      </c>
      <c r="B17" s="47">
        <f t="shared" si="0"/>
        <v>2496</v>
      </c>
      <c r="C17" s="39"/>
      <c r="D17" s="39"/>
      <c r="E17" s="56"/>
      <c r="F17" s="27"/>
      <c r="I17" s="16"/>
      <c r="J17" s="16"/>
      <c r="L17" s="29"/>
    </row>
    <row r="18" spans="1:12" s="28" customFormat="1" ht="15" customHeight="1" x14ac:dyDescent="0.25">
      <c r="A18" s="29">
        <f t="shared" si="2"/>
        <v>42</v>
      </c>
      <c r="B18" s="29">
        <f t="shared" si="0"/>
        <v>1008</v>
      </c>
      <c r="C18" s="26">
        <f>1-EXP(-$E$18*A18)</f>
        <v>0.49863001573652266</v>
      </c>
      <c r="D18" s="26">
        <f>EXP(-$E$18*A18)</f>
        <v>0.50136998426347734</v>
      </c>
      <c r="E18" s="56">
        <f>'2014 - MTBF, MTTF, Exponencial'!AD29</f>
        <v>1.643835616438356E-2</v>
      </c>
      <c r="F18" s="27">
        <v>41682</v>
      </c>
      <c r="G18" s="28" t="s">
        <v>342</v>
      </c>
      <c r="H18" s="28" t="s">
        <v>353</v>
      </c>
      <c r="I18" s="16">
        <f t="shared" si="1"/>
        <v>3</v>
      </c>
      <c r="J18" s="16">
        <v>180</v>
      </c>
    </row>
    <row r="19" spans="1:12" s="28" customFormat="1" ht="15" customHeight="1" x14ac:dyDescent="0.25">
      <c r="A19" s="29">
        <f>DAYS360($A$5,F19)-A18</f>
        <v>1</v>
      </c>
      <c r="B19" s="29">
        <f t="shared" si="0"/>
        <v>24</v>
      </c>
      <c r="C19" s="26">
        <f t="shared" ref="C19:C23" si="3">1-EXP(-$E$18*A19)</f>
        <v>1.6303983682766754E-2</v>
      </c>
      <c r="D19" s="26">
        <f t="shared" ref="D19:D23" si="4">EXP(-$E$18*A19)</f>
        <v>0.98369601631723325</v>
      </c>
      <c r="E19" s="57"/>
      <c r="F19" s="27">
        <v>41683</v>
      </c>
      <c r="G19" s="28" t="s">
        <v>342</v>
      </c>
      <c r="H19" s="28" t="s">
        <v>353</v>
      </c>
      <c r="I19" s="16">
        <f t="shared" si="1"/>
        <v>1</v>
      </c>
      <c r="J19" s="16">
        <v>60</v>
      </c>
    </row>
    <row r="20" spans="1:12" s="28" customFormat="1" ht="15" customHeight="1" x14ac:dyDescent="0.25">
      <c r="A20" s="29">
        <f>DAYS360($A$5,F20)-A19-A18</f>
        <v>31</v>
      </c>
      <c r="B20" s="29">
        <f t="shared" si="0"/>
        <v>744</v>
      </c>
      <c r="C20" s="26">
        <f t="shared" si="3"/>
        <v>0.39925759146778095</v>
      </c>
      <c r="D20" s="26">
        <f t="shared" si="4"/>
        <v>0.60074240853221905</v>
      </c>
      <c r="E20" s="57"/>
      <c r="F20" s="27">
        <v>41712</v>
      </c>
      <c r="G20" s="28" t="s">
        <v>342</v>
      </c>
      <c r="H20" s="28" t="s">
        <v>353</v>
      </c>
      <c r="I20" s="16">
        <f t="shared" si="1"/>
        <v>0.5</v>
      </c>
      <c r="J20" s="16">
        <v>30</v>
      </c>
    </row>
    <row r="21" spans="1:12" s="28" customFormat="1" ht="15" customHeight="1" x14ac:dyDescent="0.25">
      <c r="A21" s="29">
        <f>DAYS360($A$5,F21)-A20-A19-A18</f>
        <v>65</v>
      </c>
      <c r="B21" s="29">
        <f t="shared" si="0"/>
        <v>1560</v>
      </c>
      <c r="C21" s="26">
        <f t="shared" si="3"/>
        <v>0.65647423081939915</v>
      </c>
      <c r="D21" s="26">
        <f t="shared" si="4"/>
        <v>0.3435257691806009</v>
      </c>
      <c r="E21" s="57"/>
      <c r="F21" s="27">
        <v>41778</v>
      </c>
      <c r="G21" s="28" t="s">
        <v>342</v>
      </c>
      <c r="H21" s="28" t="s">
        <v>353</v>
      </c>
      <c r="I21" s="16">
        <f t="shared" si="1"/>
        <v>8</v>
      </c>
      <c r="J21" s="16">
        <f>8*60</f>
        <v>480</v>
      </c>
    </row>
    <row r="22" spans="1:12" s="28" customFormat="1" ht="15" customHeight="1" x14ac:dyDescent="0.25">
      <c r="A22" s="29">
        <f>DAYS360($A$5,F22)-A21-A20-A19-A18</f>
        <v>3</v>
      </c>
      <c r="B22" s="29">
        <f t="shared" si="0"/>
        <v>72</v>
      </c>
      <c r="C22" s="26">
        <f t="shared" si="3"/>
        <v>4.8118825319566683E-2</v>
      </c>
      <c r="D22" s="26">
        <f t="shared" si="4"/>
        <v>0.95188117468043332</v>
      </c>
      <c r="E22" s="57"/>
      <c r="F22" s="27">
        <v>41781</v>
      </c>
      <c r="G22" s="28" t="s">
        <v>342</v>
      </c>
      <c r="H22" s="28" t="s">
        <v>353</v>
      </c>
      <c r="I22" s="16">
        <f t="shared" si="1"/>
        <v>0.5</v>
      </c>
      <c r="J22" s="16">
        <v>30</v>
      </c>
    </row>
    <row r="23" spans="1:12" s="28" customFormat="1" ht="15" customHeight="1" x14ac:dyDescent="0.25">
      <c r="A23" s="29">
        <f>DAYS360($A$5,F23)-A22-A21-A20-A19-A18</f>
        <v>148</v>
      </c>
      <c r="B23" s="29">
        <f t="shared" si="0"/>
        <v>3552</v>
      </c>
      <c r="C23" s="26">
        <f t="shared" si="3"/>
        <v>0.91221606013510304</v>
      </c>
      <c r="D23" s="26">
        <f t="shared" si="4"/>
        <v>8.7783939864896937E-2</v>
      </c>
      <c r="E23" s="57"/>
      <c r="F23" s="27">
        <v>41932</v>
      </c>
      <c r="G23" s="28" t="s">
        <v>342</v>
      </c>
      <c r="H23" s="28" t="s">
        <v>353</v>
      </c>
      <c r="I23" s="16">
        <f t="shared" si="1"/>
        <v>10</v>
      </c>
      <c r="J23" s="16">
        <f>8*60+120</f>
        <v>600</v>
      </c>
    </row>
    <row r="24" spans="1:12" s="28" customFormat="1" ht="15" customHeight="1" x14ac:dyDescent="0.25">
      <c r="A24" s="47">
        <f>360-SUM(A18:A23)</f>
        <v>70</v>
      </c>
      <c r="B24" s="47">
        <f>A24*24</f>
        <v>1680</v>
      </c>
      <c r="C24" s="26"/>
      <c r="D24" s="26"/>
      <c r="E24" s="56"/>
      <c r="F24" s="27"/>
      <c r="I24" s="16"/>
      <c r="J24" s="16"/>
    </row>
    <row r="25" spans="1:12" s="28" customFormat="1" ht="15" customHeight="1" x14ac:dyDescent="0.25">
      <c r="A25" s="29">
        <f t="shared" si="2"/>
        <v>152</v>
      </c>
      <c r="B25" s="29">
        <f t="shared" si="0"/>
        <v>3648</v>
      </c>
      <c r="C25" s="26">
        <f>1-EXP(-$E$25*A25)</f>
        <v>0.71329889975806571</v>
      </c>
      <c r="D25" s="26">
        <f>EXP(-$E$25*A25)</f>
        <v>0.28670110024193429</v>
      </c>
      <c r="E25" s="56">
        <f>'2014 - MTBF, MTTF, Exponencial'!AD22</f>
        <v>8.21917808219178E-3</v>
      </c>
      <c r="F25" s="27">
        <v>41792</v>
      </c>
      <c r="G25" s="28" t="s">
        <v>342</v>
      </c>
      <c r="H25" s="28" t="s">
        <v>6</v>
      </c>
      <c r="I25" s="16">
        <f t="shared" si="1"/>
        <v>0.5</v>
      </c>
      <c r="J25" s="16">
        <v>30</v>
      </c>
    </row>
    <row r="26" spans="1:12" s="28" customFormat="1" ht="15" customHeight="1" x14ac:dyDescent="0.25">
      <c r="A26" s="47">
        <f>360-A25</f>
        <v>208</v>
      </c>
      <c r="B26" s="47">
        <f t="shared" si="0"/>
        <v>4992</v>
      </c>
      <c r="C26" s="26"/>
      <c r="D26" s="26"/>
      <c r="E26" s="56"/>
      <c r="F26" s="27"/>
      <c r="I26" s="16"/>
      <c r="J26" s="16"/>
    </row>
    <row r="27" spans="1:12" s="28" customFormat="1" ht="15" customHeight="1" x14ac:dyDescent="0.25">
      <c r="A27" s="29">
        <f t="shared" si="2"/>
        <v>37</v>
      </c>
      <c r="B27" s="29">
        <f t="shared" si="0"/>
        <v>888</v>
      </c>
      <c r="C27" s="26">
        <f>1-EXP(-$E$27*A27)</f>
        <v>9.6401236689073966E-2</v>
      </c>
      <c r="D27" s="26">
        <f>EXP(-$E$27*A27)</f>
        <v>0.90359876331092603</v>
      </c>
      <c r="E27" s="56">
        <f>'2014 - MTBF, MTTF, Exponencial'!AD34</f>
        <v>2.7397260273972603E-3</v>
      </c>
      <c r="F27" s="27">
        <v>41677</v>
      </c>
      <c r="G27" s="28" t="s">
        <v>385</v>
      </c>
      <c r="H27" s="28" t="s">
        <v>388</v>
      </c>
      <c r="I27" s="16">
        <f t="shared" si="1"/>
        <v>3</v>
      </c>
      <c r="J27" s="16">
        <v>180</v>
      </c>
    </row>
    <row r="28" spans="1:12" s="28" customFormat="1" ht="15" customHeight="1" x14ac:dyDescent="0.25">
      <c r="A28" s="47">
        <f>360-A27</f>
        <v>323</v>
      </c>
      <c r="B28" s="47">
        <f t="shared" si="0"/>
        <v>7752</v>
      </c>
      <c r="C28" s="26"/>
      <c r="D28" s="26"/>
      <c r="E28" s="56"/>
      <c r="F28" s="27"/>
      <c r="I28" s="16"/>
      <c r="J28" s="16"/>
    </row>
    <row r="29" spans="1:12" s="28" customFormat="1" ht="15" customHeight="1" x14ac:dyDescent="0.25">
      <c r="A29" s="29">
        <f t="shared" si="2"/>
        <v>126</v>
      </c>
      <c r="B29" s="29">
        <f t="shared" si="0"/>
        <v>3024</v>
      </c>
      <c r="C29" s="26">
        <f>1-EXP(-$E$29*A29)</f>
        <v>0.29192515631221772</v>
      </c>
      <c r="D29" s="26">
        <f>EXP(-$E$29*A29)</f>
        <v>0.70807484368778228</v>
      </c>
      <c r="E29" s="56">
        <f>'2014 - MTBF, MTTF, Exponencial'!AD6</f>
        <v>2.7397260273972603E-3</v>
      </c>
      <c r="F29" s="27">
        <v>41765</v>
      </c>
      <c r="G29" s="28" t="s">
        <v>370</v>
      </c>
      <c r="H29" s="28" t="s">
        <v>384</v>
      </c>
      <c r="I29" s="16">
        <f t="shared" si="1"/>
        <v>6</v>
      </c>
      <c r="J29" s="16">
        <f>6*60</f>
        <v>360</v>
      </c>
    </row>
    <row r="30" spans="1:12" s="28" customFormat="1" ht="15" customHeight="1" x14ac:dyDescent="0.25">
      <c r="A30" s="47">
        <f>360-A29</f>
        <v>234</v>
      </c>
      <c r="B30" s="47">
        <f t="shared" si="0"/>
        <v>5616</v>
      </c>
      <c r="C30" s="26"/>
      <c r="D30" s="26"/>
      <c r="E30" s="56"/>
      <c r="F30" s="27"/>
      <c r="I30" s="16"/>
      <c r="J30" s="16"/>
    </row>
    <row r="31" spans="1:12" s="28" customFormat="1" ht="15" customHeight="1" x14ac:dyDescent="0.25">
      <c r="A31" s="29">
        <f t="shared" si="2"/>
        <v>180</v>
      </c>
      <c r="B31" s="29">
        <f t="shared" si="0"/>
        <v>4320</v>
      </c>
      <c r="C31" s="26">
        <f>1-EXP(-$E$31*A31)</f>
        <v>0.38930076104071065</v>
      </c>
      <c r="D31" s="26">
        <f>EXP(-$E$31*A31)</f>
        <v>0.61069923895928935</v>
      </c>
      <c r="E31" s="56">
        <f>'2014 - MTBF, MTTF, Exponencial'!AD8</f>
        <v>2.7397260273972603E-3</v>
      </c>
      <c r="F31" s="27">
        <v>41820</v>
      </c>
      <c r="G31" s="28" t="s">
        <v>370</v>
      </c>
      <c r="H31" s="28" t="s">
        <v>374</v>
      </c>
      <c r="I31" s="16">
        <f t="shared" si="1"/>
        <v>11.5</v>
      </c>
      <c r="J31" s="16">
        <f>11.5*60</f>
        <v>690</v>
      </c>
    </row>
    <row r="32" spans="1:12" s="28" customFormat="1" ht="15" customHeight="1" x14ac:dyDescent="0.25">
      <c r="A32" s="47">
        <f>360-A31</f>
        <v>180</v>
      </c>
      <c r="B32" s="47">
        <f t="shared" si="0"/>
        <v>4320</v>
      </c>
      <c r="C32" s="26"/>
      <c r="D32" s="26"/>
      <c r="E32" s="56"/>
      <c r="F32" s="27"/>
      <c r="I32" s="16"/>
      <c r="J32" s="16"/>
    </row>
    <row r="33" spans="1:10" s="28" customFormat="1" ht="15" customHeight="1" x14ac:dyDescent="0.25">
      <c r="A33" s="29">
        <f t="shared" si="2"/>
        <v>211</v>
      </c>
      <c r="B33" s="29">
        <f t="shared" si="0"/>
        <v>5064</v>
      </c>
      <c r="C33" s="26">
        <f>1-EXP(-$E$33*A33)</f>
        <v>0.43902682543691607</v>
      </c>
      <c r="D33" s="26">
        <f>EXP(-$E$33*A33)</f>
        <v>0.56097317456308393</v>
      </c>
      <c r="E33" s="56">
        <f>'2014 - MTBF, MTTF, Exponencial'!AD10</f>
        <v>2.7397260273972603E-3</v>
      </c>
      <c r="F33" s="27">
        <v>41852</v>
      </c>
      <c r="G33" s="28" t="s">
        <v>370</v>
      </c>
      <c r="H33" s="28" t="s">
        <v>378</v>
      </c>
      <c r="I33" s="16">
        <f t="shared" si="1"/>
        <v>4</v>
      </c>
      <c r="J33" s="16">
        <v>240</v>
      </c>
    </row>
    <row r="34" spans="1:10" s="28" customFormat="1" ht="15" customHeight="1" x14ac:dyDescent="0.25">
      <c r="A34" s="47">
        <f>360-A33</f>
        <v>149</v>
      </c>
      <c r="B34" s="47">
        <f t="shared" si="0"/>
        <v>3576</v>
      </c>
      <c r="C34" s="39"/>
      <c r="D34" s="39"/>
      <c r="E34" s="56"/>
      <c r="F34" s="27"/>
      <c r="I34" s="16"/>
      <c r="J34" s="16"/>
    </row>
    <row r="35" spans="1:10" s="28" customFormat="1" ht="15" customHeight="1" x14ac:dyDescent="0.25">
      <c r="A35" s="29">
        <f t="shared" si="2"/>
        <v>187</v>
      </c>
      <c r="B35" s="29">
        <f t="shared" si="0"/>
        <v>4488</v>
      </c>
      <c r="C35" s="26">
        <f>1-EXP(-$E$35*A35)</f>
        <v>0.40090120852189104</v>
      </c>
      <c r="D35" s="26">
        <f>EXP(-$E$35*A35)</f>
        <v>0.59909879147810896</v>
      </c>
      <c r="E35" s="56">
        <f>'2014 - MTBF, MTTF, Exponencial'!AD12</f>
        <v>2.7397260273972603E-3</v>
      </c>
      <c r="F35" s="27">
        <v>41827</v>
      </c>
      <c r="G35" s="28" t="s">
        <v>370</v>
      </c>
      <c r="H35" s="28" t="s">
        <v>376</v>
      </c>
      <c r="I35" s="16">
        <f t="shared" si="1"/>
        <v>744</v>
      </c>
      <c r="J35" s="16">
        <f>31*24*60</f>
        <v>44640</v>
      </c>
    </row>
    <row r="36" spans="1:10" s="28" customFormat="1" ht="15" customHeight="1" x14ac:dyDescent="0.25">
      <c r="A36" s="47">
        <f>360-A35</f>
        <v>173</v>
      </c>
      <c r="B36" s="47">
        <f t="shared" si="0"/>
        <v>4152</v>
      </c>
      <c r="C36" s="26"/>
      <c r="D36" s="26"/>
      <c r="E36" s="56"/>
      <c r="F36" s="27"/>
    </row>
    <row r="37" spans="1:10" s="28" customFormat="1" ht="15" customHeight="1" x14ac:dyDescent="0.25">
      <c r="A37" s="38"/>
      <c r="B37" s="39"/>
      <c r="C37" s="39"/>
      <c r="D37" s="39"/>
      <c r="E37" s="39"/>
      <c r="F37" s="27"/>
    </row>
    <row r="38" spans="1:10" s="28" customFormat="1" ht="15" customHeight="1" x14ac:dyDescent="0.25">
      <c r="A38" s="26"/>
      <c r="B38" s="26"/>
      <c r="C38" s="16"/>
      <c r="D38" s="16"/>
      <c r="E38" s="16"/>
      <c r="F38" s="27"/>
    </row>
    <row r="39" spans="1:10" s="28" customFormat="1" ht="15" customHeight="1" x14ac:dyDescent="0.25">
      <c r="A39" s="38"/>
      <c r="B39" s="39"/>
      <c r="C39" s="16"/>
      <c r="D39" s="16"/>
      <c r="E39" s="16"/>
      <c r="F39" s="27"/>
    </row>
    <row r="40" spans="1:10" s="28" customFormat="1" ht="15" customHeight="1" x14ac:dyDescent="0.25">
      <c r="A40" s="26"/>
      <c r="B40" s="26"/>
      <c r="C40" s="16"/>
      <c r="D40" s="16"/>
      <c r="E40" s="16"/>
      <c r="F40" s="27"/>
    </row>
    <row r="41" spans="1:10" ht="15" customHeight="1" x14ac:dyDescent="0.25">
      <c r="A41" s="32"/>
    </row>
    <row r="42" spans="1:10" ht="15" customHeight="1" x14ac:dyDescent="0.25">
      <c r="A42"/>
    </row>
    <row r="43" spans="1:10" ht="15" customHeight="1" x14ac:dyDescent="0.25"/>
    <row r="44" spans="1:10" ht="15" customHeight="1" x14ac:dyDescent="0.25"/>
    <row r="45" spans="1:10" ht="15" customHeight="1" x14ac:dyDescent="0.25"/>
    <row r="46" spans="1:10" ht="15" customHeight="1" x14ac:dyDescent="0.25"/>
    <row r="47" spans="1:10" ht="15" customHeight="1" x14ac:dyDescent="0.25"/>
    <row r="48" spans="1:10" ht="15" customHeight="1" x14ac:dyDescent="0.25"/>
    <row r="49" spans="3:5" ht="15" customHeight="1" x14ac:dyDescent="0.25"/>
    <row r="50" spans="3:5" ht="15" customHeight="1" x14ac:dyDescent="0.25"/>
    <row r="51" spans="3:5" ht="15" customHeight="1" x14ac:dyDescent="0.25"/>
    <row r="52" spans="3:5" ht="15" customHeight="1" x14ac:dyDescent="0.25"/>
    <row r="63" spans="3:5" x14ac:dyDescent="0.25">
      <c r="C63" s="20"/>
      <c r="D63" s="20"/>
      <c r="E63" s="20"/>
    </row>
    <row r="64" spans="3:5" ht="21" x14ac:dyDescent="0.35">
      <c r="C64" s="15"/>
      <c r="D64" s="15"/>
      <c r="E64" s="15"/>
    </row>
    <row r="65" spans="1:8" x14ac:dyDescent="0.25">
      <c r="A65" s="20"/>
      <c r="B65" s="20"/>
    </row>
    <row r="66" spans="1:8" ht="21" x14ac:dyDescent="0.35">
      <c r="A66" s="15"/>
      <c r="B66" s="15"/>
    </row>
    <row r="68" spans="1:8" x14ac:dyDescent="0.25">
      <c r="H68" s="17"/>
    </row>
  </sheetData>
  <sheetProtection sheet="1" objects="1" scenarios="1"/>
  <pageMargins left="0.7" right="0.7" top="0.75" bottom="0.75" header="0.3" footer="0.3"/>
  <pageSetup paperSize="9" orientation="portrait" horizontalDpi="300"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47</vt:i4>
      </vt:variant>
    </vt:vector>
  </HeadingPairs>
  <TitlesOfParts>
    <vt:vector size="47" baseType="lpstr">
      <vt:lpstr>Index</vt:lpstr>
      <vt:lpstr>2015 - Descrição</vt:lpstr>
      <vt:lpstr>2015 - Gráficos</vt:lpstr>
      <vt:lpstr>2015 - MTBF, MTTF, Exponencial</vt:lpstr>
      <vt:lpstr>2015 - Ciclo de Operação</vt:lpstr>
      <vt:lpstr>2014 - Descrição</vt:lpstr>
      <vt:lpstr>2014 - Gráficos</vt:lpstr>
      <vt:lpstr>2014 - MTBF, MTTF, Exponencial</vt:lpstr>
      <vt:lpstr>2014 - Ciclo de Operação</vt:lpstr>
      <vt:lpstr>2013 - Descrição</vt:lpstr>
      <vt:lpstr>2013 - Gráficos</vt:lpstr>
      <vt:lpstr>2013 - MTBF, MTTF, Exponencial</vt:lpstr>
      <vt:lpstr>2013 - Ciclo de Operação</vt:lpstr>
      <vt:lpstr>2012 - Descrição</vt:lpstr>
      <vt:lpstr>2012 - Gráficos</vt:lpstr>
      <vt:lpstr>2012 - MTBF, MTTF, Exponencial</vt:lpstr>
      <vt:lpstr>2012 - Ciclo de Operação</vt:lpstr>
      <vt:lpstr>2011 - Descrição</vt:lpstr>
      <vt:lpstr>2011 - Gráficos</vt:lpstr>
      <vt:lpstr>2011 - MTBF, MTTF, Exponencial</vt:lpstr>
      <vt:lpstr>2011 - Ciclo de Operação</vt:lpstr>
      <vt:lpstr>2010 - Descrição</vt:lpstr>
      <vt:lpstr>2010 - Gráficos</vt:lpstr>
      <vt:lpstr>2010 - MTBF, MTTF, Exponencial</vt:lpstr>
      <vt:lpstr>2010 - Ciclo de Operação</vt:lpstr>
      <vt:lpstr>Incinerador 1 - Total</vt:lpstr>
      <vt:lpstr>Inciner 2 - Total - Exponencial</vt:lpstr>
      <vt:lpstr>Incinerador 2 - Total - Weibull</vt:lpstr>
      <vt:lpstr>Incinera 2 - Familias - Weibull</vt:lpstr>
      <vt:lpstr>Inciner 3 - Total - Exponencial</vt:lpstr>
      <vt:lpstr>Incinerador 3 - Total - Weibull</vt:lpstr>
      <vt:lpstr>Incinera 3 - Familias - Weibull</vt:lpstr>
      <vt:lpstr>Comb.fo 31 - Total - Exponencia</vt:lpstr>
      <vt:lpstr>Comb.fo 31 - Total - Weibull</vt:lpstr>
      <vt:lpstr>Comb.fo 31 - Familias - Weibull</vt:lpstr>
      <vt:lpstr>Comb.fo 41 - Total - Exponencia</vt:lpstr>
      <vt:lpstr>Comb.fo 41 - Total - Weibull</vt:lpstr>
      <vt:lpstr>Comb.fo 41 - Familias - Weibull</vt:lpstr>
      <vt:lpstr>Moinhos - Total - Exponencial</vt:lpstr>
      <vt:lpstr>Moinhos - Total - Weibull</vt:lpstr>
      <vt:lpstr>Moinhos - Familias - Weibull</vt:lpstr>
      <vt:lpstr>Postos Urb. ambiente - Exponenc</vt:lpstr>
      <vt:lpstr>Postos Urb. ambiente - Weibull</vt:lpstr>
      <vt:lpstr>Postos Urb. - Familias - Weibul</vt:lpstr>
      <vt:lpstr>Pasta de papel - Total</vt:lpstr>
      <vt:lpstr>MTBF Zonas</vt:lpstr>
      <vt:lpstr>MTBF Equipamento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Bruno Neto</dc:creator>
  <cp:lastModifiedBy>BN</cp:lastModifiedBy>
  <cp:lastPrinted>2016-02-02T18:26:15Z</cp:lastPrinted>
  <dcterms:created xsi:type="dcterms:W3CDTF">2015-12-16T22:34:05Z</dcterms:created>
  <dcterms:modified xsi:type="dcterms:W3CDTF">2017-12-15T02:46:59Z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